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Shuklaganj (2)" sheetId="2" r:id="rId1"/>
  </sheets>
  <definedNames>
    <definedName name="_xlnm.Print_Area" localSheetId="0">'Shuklaganj (2)'!$A$1:$AG$361</definedName>
    <definedName name="_xlnm.Print_Titles" localSheetId="0">'Shuklaganj (2)'!$1:$3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14" i="2"/>
  <c r="AR334" l="1"/>
  <c r="AR335"/>
  <c r="AU10" l="1"/>
  <c r="AU11"/>
  <c r="AU12"/>
  <c r="AU13"/>
  <c r="AU25"/>
  <c r="AU34"/>
  <c r="AU45"/>
  <c r="AU59"/>
  <c r="AU72"/>
  <c r="AU83"/>
  <c r="AU96"/>
  <c r="AU104"/>
  <c r="AU114"/>
  <c r="AU124"/>
  <c r="AU135"/>
  <c r="AU148"/>
  <c r="AU156"/>
  <c r="AU164"/>
  <c r="AU170"/>
  <c r="AU175"/>
  <c r="AU180"/>
  <c r="AU181"/>
  <c r="AU182"/>
  <c r="AU190"/>
  <c r="AU192"/>
  <c r="AU193"/>
  <c r="AU194"/>
  <c r="AU204"/>
  <c r="AU209"/>
  <c r="AU220"/>
  <c r="AU221"/>
  <c r="AU226"/>
  <c r="AU227"/>
  <c r="AU230"/>
  <c r="AU231"/>
  <c r="AU232"/>
  <c r="AU233"/>
  <c r="AU236"/>
  <c r="AU237"/>
  <c r="AU238"/>
  <c r="AU239"/>
  <c r="AU242"/>
  <c r="AU243"/>
  <c r="AU244"/>
  <c r="AU245"/>
  <c r="AU248"/>
  <c r="AU249"/>
  <c r="AU250"/>
  <c r="AU251"/>
  <c r="AU254"/>
  <c r="AU255"/>
  <c r="AU256"/>
  <c r="AU257"/>
  <c r="AU258"/>
  <c r="AU259"/>
  <c r="AU261"/>
  <c r="AU262"/>
  <c r="AU263"/>
  <c r="AU264"/>
  <c r="AU265"/>
  <c r="AU267"/>
  <c r="AU268"/>
  <c r="AU270"/>
  <c r="AU271"/>
  <c r="AU272"/>
  <c r="AU273"/>
  <c r="AU274"/>
  <c r="AU276"/>
  <c r="AU277"/>
  <c r="AU278"/>
  <c r="AU280"/>
  <c r="AU283"/>
  <c r="AU284"/>
  <c r="AU286"/>
  <c r="AU287"/>
  <c r="AU290"/>
  <c r="AU291"/>
  <c r="AU292"/>
  <c r="AU294"/>
  <c r="AU295"/>
  <c r="AU297"/>
  <c r="AU299"/>
  <c r="AU301"/>
  <c r="AU303"/>
  <c r="AU304"/>
  <c r="AU306"/>
  <c r="AU308"/>
  <c r="AU309"/>
  <c r="AU311"/>
  <c r="AU313"/>
  <c r="AU315"/>
  <c r="AU316"/>
  <c r="AU319"/>
  <c r="AU320"/>
  <c r="AU321"/>
  <c r="AU322"/>
  <c r="AU323"/>
  <c r="AU324"/>
  <c r="AU325"/>
  <c r="AU326"/>
  <c r="AU327"/>
  <c r="AU328"/>
  <c r="AU329"/>
  <c r="AU331"/>
  <c r="AU333"/>
  <c r="AU334"/>
  <c r="AU335"/>
  <c r="AS334"/>
  <c r="AQ277" l="1"/>
  <c r="AQ272"/>
  <c r="AQ263"/>
  <c r="AQ333"/>
  <c r="AQ331"/>
  <c r="AQ329"/>
  <c r="AQ328"/>
  <c r="AQ327"/>
  <c r="AQ326"/>
  <c r="AQ325"/>
  <c r="AQ324"/>
  <c r="AQ323"/>
  <c r="AQ322"/>
  <c r="AQ321"/>
  <c r="AQ320"/>
  <c r="AQ319"/>
  <c r="AQ316"/>
  <c r="AQ315"/>
  <c r="AQ313"/>
  <c r="AQ311"/>
  <c r="AQ309"/>
  <c r="AQ308"/>
  <c r="AQ306"/>
  <c r="AQ304"/>
  <c r="AQ303"/>
  <c r="AQ301"/>
  <c r="AQ299"/>
  <c r="AQ297"/>
  <c r="AQ295"/>
  <c r="AQ294"/>
  <c r="AQ292"/>
  <c r="AQ291"/>
  <c r="AQ290"/>
  <c r="AQ287"/>
  <c r="AQ286"/>
  <c r="AQ284"/>
  <c r="AQ283"/>
  <c r="AQ280"/>
  <c r="AQ278"/>
  <c r="AQ276"/>
  <c r="AQ274"/>
  <c r="AQ273"/>
  <c r="AQ271"/>
  <c r="AQ270"/>
  <c r="AQ268"/>
  <c r="AQ267"/>
  <c r="AQ265"/>
  <c r="AQ264"/>
  <c r="AQ262"/>
  <c r="AQ261"/>
  <c r="AQ259"/>
  <c r="AQ258"/>
  <c r="AQ257"/>
  <c r="AQ256"/>
  <c r="AQ255"/>
  <c r="AQ254"/>
  <c r="AQ253"/>
  <c r="AQ252"/>
  <c r="AQ251"/>
  <c r="AQ250"/>
  <c r="AQ249"/>
  <c r="AQ248"/>
  <c r="AQ247"/>
  <c r="AQ246"/>
  <c r="AQ245"/>
  <c r="AQ244"/>
  <c r="AQ243"/>
  <c r="AQ242"/>
  <c r="AQ241"/>
  <c r="AQ240"/>
  <c r="AQ239"/>
  <c r="AQ238"/>
  <c r="AQ237"/>
  <c r="AQ236"/>
  <c r="AQ235"/>
  <c r="AQ234"/>
  <c r="AQ233"/>
  <c r="AQ232"/>
  <c r="AQ231"/>
  <c r="AQ230"/>
  <c r="AQ229"/>
  <c r="AQ228"/>
  <c r="AQ227"/>
  <c r="AQ226"/>
  <c r="AQ221"/>
  <c r="AQ220"/>
  <c r="AQ209"/>
  <c r="AQ204"/>
  <c r="AQ194"/>
  <c r="AQ193"/>
  <c r="AQ192"/>
  <c r="AQ190"/>
  <c r="AQ182"/>
  <c r="AQ181"/>
  <c r="AQ180"/>
  <c r="AQ175"/>
  <c r="AQ170"/>
  <c r="AQ164"/>
  <c r="AQ156"/>
  <c r="AQ148"/>
  <c r="AQ135"/>
  <c r="AQ124"/>
  <c r="AQ114"/>
  <c r="AQ104"/>
  <c r="AQ96"/>
  <c r="AQ83"/>
  <c r="AQ72"/>
  <c r="AQ59"/>
  <c r="AQ45"/>
  <c r="AQ34"/>
  <c r="AQ25"/>
  <c r="AQ13"/>
  <c r="AQ12"/>
  <c r="AQ11"/>
  <c r="AQ10"/>
  <c r="G359" l="1"/>
  <c r="C351"/>
  <c r="C345"/>
  <c r="Q335"/>
  <c r="G335"/>
  <c r="Q334"/>
  <c r="O334"/>
  <c r="G334"/>
  <c r="AM333"/>
  <c r="AO333" s="1"/>
  <c r="AK333"/>
  <c r="AR333" s="1"/>
  <c r="AS333" s="1"/>
  <c r="AG333"/>
  <c r="AE333"/>
  <c r="D333" s="1"/>
  <c r="AC333"/>
  <c r="AA333"/>
  <c r="Y333"/>
  <c r="W333"/>
  <c r="U333"/>
  <c r="S333"/>
  <c r="Q333"/>
  <c r="O333"/>
  <c r="M333"/>
  <c r="K333"/>
  <c r="G333"/>
  <c r="AO332"/>
  <c r="AM332"/>
  <c r="AK332"/>
  <c r="AR332" s="1"/>
  <c r="E332"/>
  <c r="Y332" s="1"/>
  <c r="AM331"/>
  <c r="AO331" s="1"/>
  <c r="AK331"/>
  <c r="AR331" s="1"/>
  <c r="AS331" s="1"/>
  <c r="AG331"/>
  <c r="AC331"/>
  <c r="AA331"/>
  <c r="Y331"/>
  <c r="W331"/>
  <c r="U331"/>
  <c r="S331"/>
  <c r="Q331"/>
  <c r="O331"/>
  <c r="M331"/>
  <c r="K331"/>
  <c r="G331"/>
  <c r="AM330"/>
  <c r="AO330" s="1"/>
  <c r="AK330"/>
  <c r="AR330" s="1"/>
  <c r="E330"/>
  <c r="AC330" s="1"/>
  <c r="AM329"/>
  <c r="AO329" s="1"/>
  <c r="AK329"/>
  <c r="AR329" s="1"/>
  <c r="AS329" s="1"/>
  <c r="AG329"/>
  <c r="AE329"/>
  <c r="AC329"/>
  <c r="AA329"/>
  <c r="Y329"/>
  <c r="W329"/>
  <c r="U329"/>
  <c r="S329"/>
  <c r="Q329"/>
  <c r="O329"/>
  <c r="M329"/>
  <c r="K329"/>
  <c r="G329"/>
  <c r="AM328"/>
  <c r="AO328" s="1"/>
  <c r="AK328"/>
  <c r="AR328" s="1"/>
  <c r="AS328" s="1"/>
  <c r="AG328"/>
  <c r="AE328"/>
  <c r="D328" s="1"/>
  <c r="AC328"/>
  <c r="AA328"/>
  <c r="Y328"/>
  <c r="W328"/>
  <c r="U328"/>
  <c r="S328"/>
  <c r="Q328"/>
  <c r="O328"/>
  <c r="M328"/>
  <c r="K328"/>
  <c r="G328"/>
  <c r="AO327"/>
  <c r="AM327"/>
  <c r="AK327"/>
  <c r="AR327" s="1"/>
  <c r="AS327" s="1"/>
  <c r="AG327"/>
  <c r="AE327"/>
  <c r="AC327"/>
  <c r="AA327"/>
  <c r="D327" s="1"/>
  <c r="Y327"/>
  <c r="W327"/>
  <c r="U327"/>
  <c r="S327"/>
  <c r="Q327"/>
  <c r="O327"/>
  <c r="M327"/>
  <c r="K327"/>
  <c r="G327"/>
  <c r="AM326"/>
  <c r="AO326" s="1"/>
  <c r="AK326"/>
  <c r="AR326" s="1"/>
  <c r="AS326" s="1"/>
  <c r="AG326"/>
  <c r="AE326"/>
  <c r="AC326"/>
  <c r="AA326"/>
  <c r="Y326"/>
  <c r="W326"/>
  <c r="U326"/>
  <c r="S326"/>
  <c r="Q326"/>
  <c r="O326"/>
  <c r="M326"/>
  <c r="K326"/>
  <c r="G326"/>
  <c r="AM325"/>
  <c r="AO325" s="1"/>
  <c r="AK325"/>
  <c r="AR325" s="1"/>
  <c r="AS325" s="1"/>
  <c r="AG325"/>
  <c r="AE325"/>
  <c r="D325" s="1"/>
  <c r="AC325"/>
  <c r="AA325"/>
  <c r="Y325"/>
  <c r="W325"/>
  <c r="U325"/>
  <c r="S325"/>
  <c r="Q325"/>
  <c r="O325"/>
  <c r="M325"/>
  <c r="K325"/>
  <c r="G325"/>
  <c r="AM324"/>
  <c r="AO324" s="1"/>
  <c r="AK324"/>
  <c r="AR324" s="1"/>
  <c r="AS324" s="1"/>
  <c r="AG324"/>
  <c r="AE324"/>
  <c r="AC324"/>
  <c r="AA324"/>
  <c r="Y324"/>
  <c r="W324"/>
  <c r="U324"/>
  <c r="S324"/>
  <c r="Q324"/>
  <c r="O324"/>
  <c r="M324"/>
  <c r="K324"/>
  <c r="G324"/>
  <c r="D324"/>
  <c r="AM323"/>
  <c r="AO323" s="1"/>
  <c r="AK323"/>
  <c r="AR323" s="1"/>
  <c r="AS323" s="1"/>
  <c r="AG323"/>
  <c r="AE323"/>
  <c r="D323" s="1"/>
  <c r="AC323"/>
  <c r="AA323"/>
  <c r="Y323"/>
  <c r="W323"/>
  <c r="U323"/>
  <c r="S323"/>
  <c r="Q323"/>
  <c r="O323"/>
  <c r="M323"/>
  <c r="K323"/>
  <c r="G323"/>
  <c r="AM322"/>
  <c r="AO322" s="1"/>
  <c r="AK322"/>
  <c r="AR322" s="1"/>
  <c r="AS322" s="1"/>
  <c r="AG322"/>
  <c r="AE322"/>
  <c r="AC322"/>
  <c r="AA322"/>
  <c r="D322" s="1"/>
  <c r="Y322"/>
  <c r="W322"/>
  <c r="U322"/>
  <c r="S322"/>
  <c r="Q322"/>
  <c r="O322"/>
  <c r="M322"/>
  <c r="K322"/>
  <c r="G322"/>
  <c r="AM321"/>
  <c r="AO321" s="1"/>
  <c r="AK321"/>
  <c r="AR321" s="1"/>
  <c r="AS321" s="1"/>
  <c r="AG321"/>
  <c r="AE321"/>
  <c r="AC321"/>
  <c r="AA321"/>
  <c r="Y321"/>
  <c r="W321"/>
  <c r="U321"/>
  <c r="S321"/>
  <c r="Q321"/>
  <c r="O321"/>
  <c r="M321"/>
  <c r="K321"/>
  <c r="G321"/>
  <c r="AM320"/>
  <c r="AO320" s="1"/>
  <c r="AK320"/>
  <c r="AR320" s="1"/>
  <c r="AS320" s="1"/>
  <c r="AG320"/>
  <c r="AC320"/>
  <c r="AA320"/>
  <c r="Y320"/>
  <c r="W320"/>
  <c r="U320"/>
  <c r="S320"/>
  <c r="Q320"/>
  <c r="O320"/>
  <c r="M320"/>
  <c r="K320"/>
  <c r="G320"/>
  <c r="AM319"/>
  <c r="AO319" s="1"/>
  <c r="AK319"/>
  <c r="AR319" s="1"/>
  <c r="AS319" s="1"/>
  <c r="AG319"/>
  <c r="AC319"/>
  <c r="AA319"/>
  <c r="Y319"/>
  <c r="W319"/>
  <c r="U319"/>
  <c r="S319"/>
  <c r="Q319"/>
  <c r="O319"/>
  <c r="M319"/>
  <c r="K319"/>
  <c r="G319"/>
  <c r="AK318"/>
  <c r="AR318" s="1"/>
  <c r="AS318" s="1"/>
  <c r="N318"/>
  <c r="P318" s="1"/>
  <c r="AM318" s="1"/>
  <c r="AO318" s="1"/>
  <c r="E318"/>
  <c r="M318" s="1"/>
  <c r="AO317"/>
  <c r="AM317"/>
  <c r="AK317"/>
  <c r="AE317"/>
  <c r="K317"/>
  <c r="D317" s="1"/>
  <c r="E317"/>
  <c r="AC317" s="1"/>
  <c r="AO316"/>
  <c r="AM316"/>
  <c r="AK316"/>
  <c r="AR316" s="1"/>
  <c r="AS316" s="1"/>
  <c r="AG316"/>
  <c r="AE316"/>
  <c r="AC316"/>
  <c r="AA316"/>
  <c r="Y316"/>
  <c r="W316"/>
  <c r="U316"/>
  <c r="S316"/>
  <c r="Q316"/>
  <c r="O316"/>
  <c r="M316"/>
  <c r="K316"/>
  <c r="G316"/>
  <c r="AO315"/>
  <c r="AM315"/>
  <c r="AK315"/>
  <c r="AR315" s="1"/>
  <c r="AS315" s="1"/>
  <c r="AG315"/>
  <c r="AE315"/>
  <c r="D315" s="1"/>
  <c r="AC315"/>
  <c r="AA315"/>
  <c r="Y315"/>
  <c r="W315"/>
  <c r="U315"/>
  <c r="S315"/>
  <c r="Q315"/>
  <c r="O315"/>
  <c r="M315"/>
  <c r="K315"/>
  <c r="G315"/>
  <c r="AL315" s="1"/>
  <c r="AO314"/>
  <c r="AM314"/>
  <c r="AK314"/>
  <c r="AR314" s="1"/>
  <c r="K314"/>
  <c r="E314"/>
  <c r="U314" s="1"/>
  <c r="AM313"/>
  <c r="AO313" s="1"/>
  <c r="AK313"/>
  <c r="AR313" s="1"/>
  <c r="AS313" s="1"/>
  <c r="AG313"/>
  <c r="AE313"/>
  <c r="D313" s="1"/>
  <c r="AC313"/>
  <c r="AA313"/>
  <c r="Y313"/>
  <c r="W313"/>
  <c r="U313"/>
  <c r="S313"/>
  <c r="Q313"/>
  <c r="O313"/>
  <c r="M313"/>
  <c r="K313"/>
  <c r="G313"/>
  <c r="AM312"/>
  <c r="AO312" s="1"/>
  <c r="AK312"/>
  <c r="AR312" s="1"/>
  <c r="W312"/>
  <c r="G312"/>
  <c r="E312"/>
  <c r="S312" s="1"/>
  <c r="AM311"/>
  <c r="AO311" s="1"/>
  <c r="AK311"/>
  <c r="AR311" s="1"/>
  <c r="AS311" s="1"/>
  <c r="AG311"/>
  <c r="AC311"/>
  <c r="AA311"/>
  <c r="Y311"/>
  <c r="W311"/>
  <c r="U311"/>
  <c r="S311"/>
  <c r="Q311"/>
  <c r="O311"/>
  <c r="M311"/>
  <c r="K311"/>
  <c r="G311"/>
  <c r="AO310"/>
  <c r="AM310"/>
  <c r="AK310"/>
  <c r="E310"/>
  <c r="AM309"/>
  <c r="AO309" s="1"/>
  <c r="AK309"/>
  <c r="AR309" s="1"/>
  <c r="AS309" s="1"/>
  <c r="AG309"/>
  <c r="AE309"/>
  <c r="AC309"/>
  <c r="AA309"/>
  <c r="Y309"/>
  <c r="W309"/>
  <c r="U309"/>
  <c r="S309"/>
  <c r="Q309"/>
  <c r="O309"/>
  <c r="M309"/>
  <c r="K309"/>
  <c r="G309"/>
  <c r="AM308"/>
  <c r="AO308" s="1"/>
  <c r="AK308"/>
  <c r="AR308" s="1"/>
  <c r="AS308" s="1"/>
  <c r="AG308"/>
  <c r="AC308"/>
  <c r="AA308"/>
  <c r="Y308"/>
  <c r="W308"/>
  <c r="U308"/>
  <c r="S308"/>
  <c r="Q308"/>
  <c r="O308"/>
  <c r="M308"/>
  <c r="K308"/>
  <c r="G308"/>
  <c r="AM307"/>
  <c r="AO307" s="1"/>
  <c r="AK307"/>
  <c r="AR307" s="1"/>
  <c r="AS307" s="1"/>
  <c r="E307"/>
  <c r="AM306"/>
  <c r="AO306" s="1"/>
  <c r="AK306"/>
  <c r="AR306" s="1"/>
  <c r="AS306" s="1"/>
  <c r="AG306"/>
  <c r="AE306"/>
  <c r="AC306"/>
  <c r="Y306"/>
  <c r="W306"/>
  <c r="U306"/>
  <c r="S306"/>
  <c r="Q306"/>
  <c r="O306"/>
  <c r="M306"/>
  <c r="K306"/>
  <c r="G306"/>
  <c r="AO305"/>
  <c r="AM305"/>
  <c r="AK305"/>
  <c r="E305"/>
  <c r="AM304"/>
  <c r="AO304" s="1"/>
  <c r="AK304"/>
  <c r="AR304" s="1"/>
  <c r="AS304" s="1"/>
  <c r="AG304"/>
  <c r="AE304"/>
  <c r="AC304"/>
  <c r="AA304"/>
  <c r="Y304"/>
  <c r="W304"/>
  <c r="U304"/>
  <c r="S304"/>
  <c r="Q304"/>
  <c r="O304"/>
  <c r="M304"/>
  <c r="K304"/>
  <c r="G304"/>
  <c r="AO303"/>
  <c r="AM303"/>
  <c r="AK303"/>
  <c r="AR303" s="1"/>
  <c r="AS303" s="1"/>
  <c r="AG303"/>
  <c r="AC303"/>
  <c r="AA303"/>
  <c r="Y303"/>
  <c r="W303"/>
  <c r="U303"/>
  <c r="AL303" s="1"/>
  <c r="S303"/>
  <c r="Q303"/>
  <c r="O303"/>
  <c r="M303"/>
  <c r="K303"/>
  <c r="G303"/>
  <c r="AM302"/>
  <c r="AO302" s="1"/>
  <c r="AK302"/>
  <c r="AR302" s="1"/>
  <c r="AS302" s="1"/>
  <c r="E302"/>
  <c r="U302" s="1"/>
  <c r="AO301"/>
  <c r="AM301"/>
  <c r="AK301"/>
  <c r="AR301" s="1"/>
  <c r="AS301" s="1"/>
  <c r="AG301"/>
  <c r="AE301"/>
  <c r="AC301"/>
  <c r="AA301"/>
  <c r="Y301"/>
  <c r="U301"/>
  <c r="S301"/>
  <c r="Q301"/>
  <c r="O301"/>
  <c r="M301"/>
  <c r="K301"/>
  <c r="G301"/>
  <c r="AM300"/>
  <c r="AO300" s="1"/>
  <c r="AK300"/>
  <c r="AR300" s="1"/>
  <c r="E300"/>
  <c r="AM299"/>
  <c r="AO299" s="1"/>
  <c r="AK299"/>
  <c r="AR299" s="1"/>
  <c r="AS299" s="1"/>
  <c r="AG299"/>
  <c r="AE299"/>
  <c r="AC299"/>
  <c r="AA299"/>
  <c r="Y299"/>
  <c r="U299"/>
  <c r="S299"/>
  <c r="Q299"/>
  <c r="O299"/>
  <c r="M299"/>
  <c r="K299"/>
  <c r="G299"/>
  <c r="AM298"/>
  <c r="AO298" s="1"/>
  <c r="AK298"/>
  <c r="AR298" s="1"/>
  <c r="E298"/>
  <c r="AM297"/>
  <c r="AO297" s="1"/>
  <c r="AK297"/>
  <c r="AR297" s="1"/>
  <c r="AS297" s="1"/>
  <c r="AG297"/>
  <c r="AE297"/>
  <c r="AC297"/>
  <c r="AA297"/>
  <c r="Y297"/>
  <c r="U297"/>
  <c r="S297"/>
  <c r="Q297"/>
  <c r="O297"/>
  <c r="M297"/>
  <c r="K297"/>
  <c r="G297"/>
  <c r="AM296"/>
  <c r="AO296" s="1"/>
  <c r="AK296"/>
  <c r="AR296" s="1"/>
  <c r="AS296" s="1"/>
  <c r="E296"/>
  <c r="Q296" s="1"/>
  <c r="AM295"/>
  <c r="AO295" s="1"/>
  <c r="AK295"/>
  <c r="AR295" s="1"/>
  <c r="AS295" s="1"/>
  <c r="AG295"/>
  <c r="AE295"/>
  <c r="AC295"/>
  <c r="AA295"/>
  <c r="Y295"/>
  <c r="W295"/>
  <c r="U295"/>
  <c r="S295"/>
  <c r="Q295"/>
  <c r="O295"/>
  <c r="M295"/>
  <c r="K295"/>
  <c r="G295"/>
  <c r="AM294"/>
  <c r="AO294" s="1"/>
  <c r="AK294"/>
  <c r="AR294" s="1"/>
  <c r="AS294" s="1"/>
  <c r="AG294"/>
  <c r="AE294"/>
  <c r="AC294"/>
  <c r="AA294"/>
  <c r="Y294"/>
  <c r="U294"/>
  <c r="S294"/>
  <c r="Q294"/>
  <c r="O294"/>
  <c r="M294"/>
  <c r="K294"/>
  <c r="G294"/>
  <c r="AM293"/>
  <c r="AO293" s="1"/>
  <c r="AK293"/>
  <c r="AC293"/>
  <c r="E293"/>
  <c r="Q293" s="1"/>
  <c r="AM292"/>
  <c r="AO292" s="1"/>
  <c r="AK292"/>
  <c r="AR292" s="1"/>
  <c r="AS292" s="1"/>
  <c r="AG292"/>
  <c r="AE292"/>
  <c r="AC292"/>
  <c r="AA292"/>
  <c r="Y292"/>
  <c r="W292"/>
  <c r="U292"/>
  <c r="S292"/>
  <c r="Q292"/>
  <c r="O292"/>
  <c r="M292"/>
  <c r="G292"/>
  <c r="AM291"/>
  <c r="AO291" s="1"/>
  <c r="AK291"/>
  <c r="AR291" s="1"/>
  <c r="AS291" s="1"/>
  <c r="AG291"/>
  <c r="AE291"/>
  <c r="AC291"/>
  <c r="AA291"/>
  <c r="Y291"/>
  <c r="U291"/>
  <c r="S291"/>
  <c r="Q291"/>
  <c r="O291"/>
  <c r="M291"/>
  <c r="K291"/>
  <c r="G291"/>
  <c r="AO290"/>
  <c r="AM290"/>
  <c r="AK290"/>
  <c r="AR290" s="1"/>
  <c r="AS290" s="1"/>
  <c r="AG290"/>
  <c r="AE290"/>
  <c r="AC290"/>
  <c r="AA290"/>
  <c r="Y290"/>
  <c r="U290"/>
  <c r="S290"/>
  <c r="Q290"/>
  <c r="O290"/>
  <c r="M290"/>
  <c r="K290"/>
  <c r="G290"/>
  <c r="AM289"/>
  <c r="AO289" s="1"/>
  <c r="AK289"/>
  <c r="U289"/>
  <c r="G289"/>
  <c r="E289"/>
  <c r="K289" s="1"/>
  <c r="AM288"/>
  <c r="AO288" s="1"/>
  <c r="AK288"/>
  <c r="AE288"/>
  <c r="AC288"/>
  <c r="E288"/>
  <c r="AM287"/>
  <c r="AO287" s="1"/>
  <c r="AK287"/>
  <c r="AR287" s="1"/>
  <c r="AS287" s="1"/>
  <c r="AG287"/>
  <c r="AE287"/>
  <c r="AC287"/>
  <c r="AA287"/>
  <c r="Y287"/>
  <c r="W287"/>
  <c r="U287"/>
  <c r="S287"/>
  <c r="Q287"/>
  <c r="O287"/>
  <c r="M287"/>
  <c r="K287"/>
  <c r="G287"/>
  <c r="AM286"/>
  <c r="AO286" s="1"/>
  <c r="AK286"/>
  <c r="AR286" s="1"/>
  <c r="AS286" s="1"/>
  <c r="AG286"/>
  <c r="AC286"/>
  <c r="AA286"/>
  <c r="Y286"/>
  <c r="W286"/>
  <c r="U286"/>
  <c r="S286"/>
  <c r="Q286"/>
  <c r="O286"/>
  <c r="M286"/>
  <c r="K286"/>
  <c r="G286"/>
  <c r="AM285"/>
  <c r="AO285" s="1"/>
  <c r="AK285"/>
  <c r="AR285" s="1"/>
  <c r="AS285" s="1"/>
  <c r="G285"/>
  <c r="E285"/>
  <c r="AC285" s="1"/>
  <c r="AM284"/>
  <c r="AO284" s="1"/>
  <c r="AK284"/>
  <c r="AR284" s="1"/>
  <c r="AS284" s="1"/>
  <c r="AG284"/>
  <c r="AC284"/>
  <c r="AA284"/>
  <c r="Y284"/>
  <c r="W284"/>
  <c r="U284"/>
  <c r="S284"/>
  <c r="Q284"/>
  <c r="O284"/>
  <c r="M284"/>
  <c r="K284"/>
  <c r="G284"/>
  <c r="AM283"/>
  <c r="AO283" s="1"/>
  <c r="AK283"/>
  <c r="AR283" s="1"/>
  <c r="AS283" s="1"/>
  <c r="AG283"/>
  <c r="AC283"/>
  <c r="AA283"/>
  <c r="Y283"/>
  <c r="W283"/>
  <c r="U283"/>
  <c r="S283"/>
  <c r="Q283"/>
  <c r="O283"/>
  <c r="M283"/>
  <c r="K283"/>
  <c r="G283"/>
  <c r="AM282"/>
  <c r="AO282" s="1"/>
  <c r="AK282"/>
  <c r="E282"/>
  <c r="AM281"/>
  <c r="AO281" s="1"/>
  <c r="AK281"/>
  <c r="E281"/>
  <c r="AM280"/>
  <c r="AO280" s="1"/>
  <c r="AK280"/>
  <c r="AR280" s="1"/>
  <c r="AS280" s="1"/>
  <c r="AG280"/>
  <c r="AC280"/>
  <c r="AA280"/>
  <c r="Y280"/>
  <c r="W280"/>
  <c r="U280"/>
  <c r="S280"/>
  <c r="Q280"/>
  <c r="O280"/>
  <c r="M280"/>
  <c r="K280"/>
  <c r="G280"/>
  <c r="AO279"/>
  <c r="AM279"/>
  <c r="AK279"/>
  <c r="AR279" s="1"/>
  <c r="AS279" s="1"/>
  <c r="AG279"/>
  <c r="S279"/>
  <c r="O279"/>
  <c r="M279"/>
  <c r="I279"/>
  <c r="D279" s="1"/>
  <c r="E279"/>
  <c r="Y279" s="1"/>
  <c r="AM278"/>
  <c r="AO278" s="1"/>
  <c r="AK278"/>
  <c r="AR278" s="1"/>
  <c r="AS278" s="1"/>
  <c r="AG278"/>
  <c r="AE278"/>
  <c r="D278" s="1"/>
  <c r="AC278"/>
  <c r="AA278"/>
  <c r="Y278"/>
  <c r="W278"/>
  <c r="U278"/>
  <c r="S278"/>
  <c r="Q278"/>
  <c r="O278"/>
  <c r="M278"/>
  <c r="AL278" s="1"/>
  <c r="K278"/>
  <c r="G278"/>
  <c r="AM277"/>
  <c r="AO277" s="1"/>
  <c r="AK277"/>
  <c r="AR277" s="1"/>
  <c r="AS277" s="1"/>
  <c r="AG277"/>
  <c r="AE277"/>
  <c r="AC277"/>
  <c r="AA277"/>
  <c r="Y277"/>
  <c r="W277"/>
  <c r="U277"/>
  <c r="S277"/>
  <c r="Q277"/>
  <c r="O277"/>
  <c r="M277"/>
  <c r="K277"/>
  <c r="I277"/>
  <c r="D277" s="1"/>
  <c r="G277"/>
  <c r="AM276"/>
  <c r="AO276" s="1"/>
  <c r="AK276"/>
  <c r="AR276" s="1"/>
  <c r="AS276" s="1"/>
  <c r="AG276"/>
  <c r="AC276"/>
  <c r="AA276"/>
  <c r="Y276"/>
  <c r="W276"/>
  <c r="U276"/>
  <c r="S276"/>
  <c r="Q276"/>
  <c r="O276"/>
  <c r="M276"/>
  <c r="K276"/>
  <c r="G276"/>
  <c r="AM275"/>
  <c r="AO275" s="1"/>
  <c r="AK275"/>
  <c r="E275"/>
  <c r="AM274"/>
  <c r="AO274" s="1"/>
  <c r="AK274"/>
  <c r="AR274" s="1"/>
  <c r="AS274" s="1"/>
  <c r="AG274"/>
  <c r="AE274"/>
  <c r="AC274"/>
  <c r="AA274"/>
  <c r="Y274"/>
  <c r="W274"/>
  <c r="U274"/>
  <c r="S274"/>
  <c r="Q274"/>
  <c r="O274"/>
  <c r="M274"/>
  <c r="K274"/>
  <c r="G274"/>
  <c r="AM273"/>
  <c r="AO273" s="1"/>
  <c r="AK273"/>
  <c r="AR273" s="1"/>
  <c r="AS273" s="1"/>
  <c r="AG273"/>
  <c r="AE273"/>
  <c r="AC273"/>
  <c r="AA273"/>
  <c r="D273" s="1"/>
  <c r="Y273"/>
  <c r="W273"/>
  <c r="U273"/>
  <c r="S273"/>
  <c r="Q273"/>
  <c r="O273"/>
  <c r="M273"/>
  <c r="K273"/>
  <c r="G273"/>
  <c r="AM272"/>
  <c r="AO272" s="1"/>
  <c r="AK272"/>
  <c r="AR272" s="1"/>
  <c r="AS272" s="1"/>
  <c r="AG272"/>
  <c r="AE272"/>
  <c r="AC272"/>
  <c r="AA272"/>
  <c r="D272" s="1"/>
  <c r="Y272"/>
  <c r="W272"/>
  <c r="U272"/>
  <c r="S272"/>
  <c r="Q272"/>
  <c r="O272"/>
  <c r="M272"/>
  <c r="K272"/>
  <c r="G272"/>
  <c r="AM271"/>
  <c r="AO271" s="1"/>
  <c r="AK271"/>
  <c r="AR271" s="1"/>
  <c r="AS271" s="1"/>
  <c r="AG271"/>
  <c r="AE271"/>
  <c r="AC271"/>
  <c r="AA271"/>
  <c r="Y271"/>
  <c r="W271"/>
  <c r="U271"/>
  <c r="S271"/>
  <c r="Q271"/>
  <c r="O271"/>
  <c r="M271"/>
  <c r="K271"/>
  <c r="G271"/>
  <c r="AM270"/>
  <c r="AO270" s="1"/>
  <c r="AK270"/>
  <c r="AR270" s="1"/>
  <c r="AS270" s="1"/>
  <c r="AG270"/>
  <c r="AC270"/>
  <c r="AA270"/>
  <c r="Y270"/>
  <c r="W270"/>
  <c r="U270"/>
  <c r="S270"/>
  <c r="Q270"/>
  <c r="O270"/>
  <c r="M270"/>
  <c r="K270"/>
  <c r="G270"/>
  <c r="AM269"/>
  <c r="AO269" s="1"/>
  <c r="AK269"/>
  <c r="AR269" s="1"/>
  <c r="E269"/>
  <c r="AM268"/>
  <c r="AO268" s="1"/>
  <c r="AK268"/>
  <c r="AR268" s="1"/>
  <c r="AS268" s="1"/>
  <c r="AG268"/>
  <c r="AE268"/>
  <c r="AC268"/>
  <c r="AA268"/>
  <c r="Y268"/>
  <c r="W268"/>
  <c r="U268"/>
  <c r="S268"/>
  <c r="Q268"/>
  <c r="O268"/>
  <c r="M268"/>
  <c r="K268"/>
  <c r="G268"/>
  <c r="AM267"/>
  <c r="AO267" s="1"/>
  <c r="AK267"/>
  <c r="AR267" s="1"/>
  <c r="AS267" s="1"/>
  <c r="AG267"/>
  <c r="AE267"/>
  <c r="AC267"/>
  <c r="Y267"/>
  <c r="W267"/>
  <c r="U267"/>
  <c r="S267"/>
  <c r="Q267"/>
  <c r="O267"/>
  <c r="M267"/>
  <c r="K267"/>
  <c r="G267"/>
  <c r="AM266"/>
  <c r="AO266" s="1"/>
  <c r="AK266"/>
  <c r="AR266" s="1"/>
  <c r="AS266" s="1"/>
  <c r="AE266"/>
  <c r="O266"/>
  <c r="E266"/>
  <c r="AM265"/>
  <c r="AO265" s="1"/>
  <c r="AK265"/>
  <c r="AR265" s="1"/>
  <c r="AS265" s="1"/>
  <c r="AG265"/>
  <c r="AE265"/>
  <c r="AC265"/>
  <c r="AA265"/>
  <c r="Y265"/>
  <c r="W265"/>
  <c r="U265"/>
  <c r="S265"/>
  <c r="Q265"/>
  <c r="O265"/>
  <c r="M265"/>
  <c r="K265"/>
  <c r="G265"/>
  <c r="AM264"/>
  <c r="AO264" s="1"/>
  <c r="AK264"/>
  <c r="AR264" s="1"/>
  <c r="AS264" s="1"/>
  <c r="AG264"/>
  <c r="AE264"/>
  <c r="AC264"/>
  <c r="AA264"/>
  <c r="Y264"/>
  <c r="W264"/>
  <c r="U264"/>
  <c r="S264"/>
  <c r="Q264"/>
  <c r="O264"/>
  <c r="M264"/>
  <c r="K264"/>
  <c r="G264"/>
  <c r="D264"/>
  <c r="AM263"/>
  <c r="AO263" s="1"/>
  <c r="AK263"/>
  <c r="AR263" s="1"/>
  <c r="AS263" s="1"/>
  <c r="AG263"/>
  <c r="AE263"/>
  <c r="AC263"/>
  <c r="AA263"/>
  <c r="Y263"/>
  <c r="W263"/>
  <c r="U263"/>
  <c r="S263"/>
  <c r="Q263"/>
  <c r="O263"/>
  <c r="M263"/>
  <c r="K263"/>
  <c r="I263"/>
  <c r="D263" s="1"/>
  <c r="G263"/>
  <c r="AO262"/>
  <c r="AM262"/>
  <c r="AK262"/>
  <c r="AR262" s="1"/>
  <c r="AS262" s="1"/>
  <c r="AG262"/>
  <c r="AE262"/>
  <c r="AC262"/>
  <c r="AA262"/>
  <c r="Y262"/>
  <c r="W262"/>
  <c r="U262"/>
  <c r="S262"/>
  <c r="Q262"/>
  <c r="O262"/>
  <c r="M262"/>
  <c r="K262"/>
  <c r="G262"/>
  <c r="AO261"/>
  <c r="AM261"/>
  <c r="AK261"/>
  <c r="AR261" s="1"/>
  <c r="AS261" s="1"/>
  <c r="AG261"/>
  <c r="AE261"/>
  <c r="AC261"/>
  <c r="AA261"/>
  <c r="Y261"/>
  <c r="W261"/>
  <c r="U261"/>
  <c r="S261"/>
  <c r="Q261"/>
  <c r="O261"/>
  <c r="M261"/>
  <c r="K261"/>
  <c r="G261"/>
  <c r="AO260"/>
  <c r="AM260"/>
  <c r="AK260"/>
  <c r="AR260" s="1"/>
  <c r="AS260" s="1"/>
  <c r="Z260"/>
  <c r="V260"/>
  <c r="W260" s="1"/>
  <c r="E260"/>
  <c r="O260" s="1"/>
  <c r="AM259"/>
  <c r="AO259" s="1"/>
  <c r="AK259"/>
  <c r="AR259" s="1"/>
  <c r="AS259" s="1"/>
  <c r="AG259"/>
  <c r="AE259"/>
  <c r="AC259"/>
  <c r="AA259"/>
  <c r="Y259"/>
  <c r="W259"/>
  <c r="U259"/>
  <c r="S259"/>
  <c r="Q259"/>
  <c r="O259"/>
  <c r="M259"/>
  <c r="K259"/>
  <c r="G259"/>
  <c r="AM258"/>
  <c r="AO258" s="1"/>
  <c r="AK258"/>
  <c r="AR258" s="1"/>
  <c r="AS258" s="1"/>
  <c r="AG258"/>
  <c r="AE258"/>
  <c r="AC258"/>
  <c r="AA258"/>
  <c r="Y258"/>
  <c r="W258"/>
  <c r="U258"/>
  <c r="S258"/>
  <c r="Q258"/>
  <c r="O258"/>
  <c r="M258"/>
  <c r="K258"/>
  <c r="G258"/>
  <c r="AM257"/>
  <c r="AO257" s="1"/>
  <c r="AK257"/>
  <c r="AR257" s="1"/>
  <c r="AS257" s="1"/>
  <c r="AH257"/>
  <c r="AG257"/>
  <c r="AE257"/>
  <c r="AC257"/>
  <c r="AA257"/>
  <c r="Y257"/>
  <c r="W257"/>
  <c r="U257"/>
  <c r="S257"/>
  <c r="Q257"/>
  <c r="O257"/>
  <c r="M257"/>
  <c r="K257"/>
  <c r="G257"/>
  <c r="AM256"/>
  <c r="AO256" s="1"/>
  <c r="AK256"/>
  <c r="AR256" s="1"/>
  <c r="AS256" s="1"/>
  <c r="AG256"/>
  <c r="AE256"/>
  <c r="AC256"/>
  <c r="AA256"/>
  <c r="Y256"/>
  <c r="W256"/>
  <c r="U256"/>
  <c r="S256"/>
  <c r="Q256"/>
  <c r="O256"/>
  <c r="M256"/>
  <c r="K256"/>
  <c r="I256"/>
  <c r="G256"/>
  <c r="D256"/>
  <c r="AM255"/>
  <c r="AO255" s="1"/>
  <c r="AK255"/>
  <c r="AR255" s="1"/>
  <c r="AS255" s="1"/>
  <c r="AG255"/>
  <c r="AE255"/>
  <c r="AC255"/>
  <c r="AA255"/>
  <c r="Y255"/>
  <c r="W255"/>
  <c r="U255"/>
  <c r="S255"/>
  <c r="Q255"/>
  <c r="O255"/>
  <c r="M255"/>
  <c r="K255"/>
  <c r="I255"/>
  <c r="G255"/>
  <c r="D255"/>
  <c r="AO254"/>
  <c r="AM254"/>
  <c r="AK254"/>
  <c r="AR254" s="1"/>
  <c r="AS254" s="1"/>
  <c r="AG254"/>
  <c r="AE254"/>
  <c r="AC254"/>
  <c r="AA254"/>
  <c r="Y254"/>
  <c r="W254"/>
  <c r="U254"/>
  <c r="S254"/>
  <c r="Q254"/>
  <c r="O254"/>
  <c r="M254"/>
  <c r="K254"/>
  <c r="I254"/>
  <c r="G254"/>
  <c r="D254"/>
  <c r="AM253"/>
  <c r="AO253" s="1"/>
  <c r="AK253"/>
  <c r="AG253"/>
  <c r="AE253"/>
  <c r="AC253"/>
  <c r="AA253"/>
  <c r="Y253"/>
  <c r="W253"/>
  <c r="U253"/>
  <c r="S253"/>
  <c r="Q253"/>
  <c r="O253"/>
  <c r="M253"/>
  <c r="K253"/>
  <c r="I253"/>
  <c r="G253"/>
  <c r="D253"/>
  <c r="AM252"/>
  <c r="AO252" s="1"/>
  <c r="AK252"/>
  <c r="AG252"/>
  <c r="AE252"/>
  <c r="AC252"/>
  <c r="AA252"/>
  <c r="Y252"/>
  <c r="W252"/>
  <c r="U252"/>
  <c r="S252"/>
  <c r="Q252"/>
  <c r="O252"/>
  <c r="M252"/>
  <c r="K252"/>
  <c r="G252"/>
  <c r="D252"/>
  <c r="AO251"/>
  <c r="AM251"/>
  <c r="AK251"/>
  <c r="AR251" s="1"/>
  <c r="AS251" s="1"/>
  <c r="AG251"/>
  <c r="AE251"/>
  <c r="AC251"/>
  <c r="AA251"/>
  <c r="Y251"/>
  <c r="W251"/>
  <c r="U251"/>
  <c r="S251"/>
  <c r="Q251"/>
  <c r="O251"/>
  <c r="M251"/>
  <c r="K251"/>
  <c r="G251"/>
  <c r="AO250"/>
  <c r="AM250"/>
  <c r="AK250"/>
  <c r="AR250" s="1"/>
  <c r="AS250" s="1"/>
  <c r="AG250"/>
  <c r="AE250"/>
  <c r="AC250"/>
  <c r="AA250"/>
  <c r="Y250"/>
  <c r="W250"/>
  <c r="U250"/>
  <c r="S250"/>
  <c r="Q250"/>
  <c r="O250"/>
  <c r="M250"/>
  <c r="K250"/>
  <c r="I250"/>
  <c r="G250"/>
  <c r="D250"/>
  <c r="AM249"/>
  <c r="AO249" s="1"/>
  <c r="AK249"/>
  <c r="AR249" s="1"/>
  <c r="AS249" s="1"/>
  <c r="AG249"/>
  <c r="AE249"/>
  <c r="AC249"/>
  <c r="AA249"/>
  <c r="Y249"/>
  <c r="W249"/>
  <c r="U249"/>
  <c r="S249"/>
  <c r="Q249"/>
  <c r="O249"/>
  <c r="M249"/>
  <c r="K249"/>
  <c r="I249"/>
  <c r="G249"/>
  <c r="D249"/>
  <c r="AM248"/>
  <c r="AO248" s="1"/>
  <c r="AK248"/>
  <c r="AR248" s="1"/>
  <c r="AS248" s="1"/>
  <c r="AG248"/>
  <c r="AE248"/>
  <c r="AC248"/>
  <c r="AA248"/>
  <c r="Y248"/>
  <c r="W248"/>
  <c r="U248"/>
  <c r="S248"/>
  <c r="Q248"/>
  <c r="O248"/>
  <c r="M248"/>
  <c r="K248"/>
  <c r="I248"/>
  <c r="G248"/>
  <c r="D248"/>
  <c r="AM247"/>
  <c r="AO247" s="1"/>
  <c r="AK247"/>
  <c r="AG247"/>
  <c r="AE247"/>
  <c r="AC247"/>
  <c r="AA247"/>
  <c r="Y247"/>
  <c r="W247"/>
  <c r="U247"/>
  <c r="S247"/>
  <c r="Q247"/>
  <c r="O247"/>
  <c r="M247"/>
  <c r="K247"/>
  <c r="I247"/>
  <c r="G247"/>
  <c r="D247"/>
  <c r="AM246"/>
  <c r="AO246" s="1"/>
  <c r="AK246"/>
  <c r="AG246"/>
  <c r="AE246"/>
  <c r="AC246"/>
  <c r="AA246"/>
  <c r="Y246"/>
  <c r="W246"/>
  <c r="U246"/>
  <c r="S246"/>
  <c r="Q246"/>
  <c r="O246"/>
  <c r="M246"/>
  <c r="K246"/>
  <c r="G246"/>
  <c r="D246"/>
  <c r="AM245"/>
  <c r="AO245" s="1"/>
  <c r="AK245"/>
  <c r="AR245" s="1"/>
  <c r="AS245" s="1"/>
  <c r="AG245"/>
  <c r="AE245"/>
  <c r="AC245"/>
  <c r="AA245"/>
  <c r="Y245"/>
  <c r="W245"/>
  <c r="U245"/>
  <c r="S245"/>
  <c r="Q245"/>
  <c r="O245"/>
  <c r="M245"/>
  <c r="K245"/>
  <c r="G245"/>
  <c r="AM244"/>
  <c r="AO244" s="1"/>
  <c r="AK244"/>
  <c r="AR244" s="1"/>
  <c r="AS244" s="1"/>
  <c r="AG244"/>
  <c r="AE244"/>
  <c r="AC244"/>
  <c r="AA244"/>
  <c r="Y244"/>
  <c r="W244"/>
  <c r="U244"/>
  <c r="S244"/>
  <c r="Q244"/>
  <c r="O244"/>
  <c r="M244"/>
  <c r="K244"/>
  <c r="I244"/>
  <c r="G244"/>
  <c r="D244"/>
  <c r="AM243"/>
  <c r="AO243" s="1"/>
  <c r="AK243"/>
  <c r="AR243" s="1"/>
  <c r="AS243" s="1"/>
  <c r="AG243"/>
  <c r="AE243"/>
  <c r="AC243"/>
  <c r="AA243"/>
  <c r="Y243"/>
  <c r="W243"/>
  <c r="U243"/>
  <c r="S243"/>
  <c r="Q243"/>
  <c r="O243"/>
  <c r="M243"/>
  <c r="K243"/>
  <c r="I243"/>
  <c r="G243"/>
  <c r="D243"/>
  <c r="AM242"/>
  <c r="AO242" s="1"/>
  <c r="AK242"/>
  <c r="AR242" s="1"/>
  <c r="AS242" s="1"/>
  <c r="AG242"/>
  <c r="AE242"/>
  <c r="AC242"/>
  <c r="AA242"/>
  <c r="Y242"/>
  <c r="W242"/>
  <c r="U242"/>
  <c r="S242"/>
  <c r="Q242"/>
  <c r="O242"/>
  <c r="M242"/>
  <c r="K242"/>
  <c r="I242"/>
  <c r="G242"/>
  <c r="D242"/>
  <c r="AM241"/>
  <c r="AO241" s="1"/>
  <c r="AK241"/>
  <c r="AG241"/>
  <c r="AE241"/>
  <c r="AC241"/>
  <c r="AA241"/>
  <c r="Y241"/>
  <c r="W241"/>
  <c r="U241"/>
  <c r="S241"/>
  <c r="Q241"/>
  <c r="O241"/>
  <c r="M241"/>
  <c r="K241"/>
  <c r="I241"/>
  <c r="G241"/>
  <c r="D241"/>
  <c r="AO240"/>
  <c r="AM240"/>
  <c r="AK240"/>
  <c r="AG240"/>
  <c r="AE240"/>
  <c r="AC240"/>
  <c r="AA240"/>
  <c r="Y240"/>
  <c r="W240"/>
  <c r="U240"/>
  <c r="S240"/>
  <c r="Q240"/>
  <c r="O240"/>
  <c r="M240"/>
  <c r="K240"/>
  <c r="G240"/>
  <c r="D240"/>
  <c r="AM239"/>
  <c r="AO239" s="1"/>
  <c r="AK239"/>
  <c r="AR239" s="1"/>
  <c r="AS239" s="1"/>
  <c r="AG239"/>
  <c r="AE239"/>
  <c r="AC239"/>
  <c r="AA239"/>
  <c r="Y239"/>
  <c r="W239"/>
  <c r="U239"/>
  <c r="S239"/>
  <c r="Q239"/>
  <c r="O239"/>
  <c r="M239"/>
  <c r="K239"/>
  <c r="G239"/>
  <c r="AM238"/>
  <c r="AO238" s="1"/>
  <c r="AK238"/>
  <c r="AR238" s="1"/>
  <c r="AS238" s="1"/>
  <c r="AG238"/>
  <c r="AE238"/>
  <c r="AC238"/>
  <c r="AA238"/>
  <c r="Y238"/>
  <c r="W238"/>
  <c r="U238"/>
  <c r="S238"/>
  <c r="Q238"/>
  <c r="O238"/>
  <c r="M238"/>
  <c r="K238"/>
  <c r="G238"/>
  <c r="D238"/>
  <c r="AM237"/>
  <c r="AO237" s="1"/>
  <c r="AK237"/>
  <c r="AR237" s="1"/>
  <c r="AS237" s="1"/>
  <c r="AG237"/>
  <c r="AE237"/>
  <c r="AC237"/>
  <c r="AA237"/>
  <c r="Y237"/>
  <c r="W237"/>
  <c r="U237"/>
  <c r="S237"/>
  <c r="Q237"/>
  <c r="O237"/>
  <c r="M237"/>
  <c r="K237"/>
  <c r="G237"/>
  <c r="D237"/>
  <c r="AM236"/>
  <c r="AO236" s="1"/>
  <c r="AK236"/>
  <c r="AR236" s="1"/>
  <c r="AS236" s="1"/>
  <c r="AG236"/>
  <c r="AE236"/>
  <c r="AC236"/>
  <c r="AA236"/>
  <c r="Y236"/>
  <c r="W236"/>
  <c r="U236"/>
  <c r="S236"/>
  <c r="Q236"/>
  <c r="O236"/>
  <c r="M236"/>
  <c r="K236"/>
  <c r="I236"/>
  <c r="G236"/>
  <c r="D236"/>
  <c r="AO235"/>
  <c r="AM235"/>
  <c r="AK235"/>
  <c r="AG235"/>
  <c r="AE235"/>
  <c r="AC235"/>
  <c r="AA235"/>
  <c r="Y235"/>
  <c r="W235"/>
  <c r="U235"/>
  <c r="S235"/>
  <c r="Q235"/>
  <c r="O235"/>
  <c r="M235"/>
  <c r="K235"/>
  <c r="I235"/>
  <c r="G235"/>
  <c r="D235"/>
  <c r="AO234"/>
  <c r="AM234"/>
  <c r="AK234"/>
  <c r="AG234"/>
  <c r="AE234"/>
  <c r="AC234"/>
  <c r="AA234"/>
  <c r="Y234"/>
  <c r="W234"/>
  <c r="U234"/>
  <c r="S234"/>
  <c r="Q234"/>
  <c r="O234"/>
  <c r="M234"/>
  <c r="K234"/>
  <c r="G234"/>
  <c r="D234"/>
  <c r="AM233"/>
  <c r="AO233" s="1"/>
  <c r="AK233"/>
  <c r="AR233" s="1"/>
  <c r="AS233" s="1"/>
  <c r="AG233"/>
  <c r="AE233"/>
  <c r="AC233"/>
  <c r="AA233"/>
  <c r="Y233"/>
  <c r="W233"/>
  <c r="U233"/>
  <c r="S233"/>
  <c r="Q233"/>
  <c r="O233"/>
  <c r="M233"/>
  <c r="K233"/>
  <c r="G233"/>
  <c r="AO232"/>
  <c r="AM232"/>
  <c r="AK232"/>
  <c r="AR232" s="1"/>
  <c r="AS232" s="1"/>
  <c r="AG232"/>
  <c r="AE232"/>
  <c r="AC232"/>
  <c r="AA232"/>
  <c r="Y232"/>
  <c r="W232"/>
  <c r="U232"/>
  <c r="S232"/>
  <c r="Q232"/>
  <c r="O232"/>
  <c r="M232"/>
  <c r="K232"/>
  <c r="G232"/>
  <c r="D232"/>
  <c r="AM231"/>
  <c r="AO231" s="1"/>
  <c r="AK231"/>
  <c r="AR231" s="1"/>
  <c r="AS231" s="1"/>
  <c r="AG231"/>
  <c r="AE231"/>
  <c r="AC231"/>
  <c r="AA231"/>
  <c r="Y231"/>
  <c r="V231"/>
  <c r="W231" s="1"/>
  <c r="U231"/>
  <c r="R231"/>
  <c r="S231" s="1"/>
  <c r="Q231"/>
  <c r="O231"/>
  <c r="M231"/>
  <c r="K231"/>
  <c r="G231"/>
  <c r="D231"/>
  <c r="AM230"/>
  <c r="AO230" s="1"/>
  <c r="AK230"/>
  <c r="AR230" s="1"/>
  <c r="AS230" s="1"/>
  <c r="AG230"/>
  <c r="AE230"/>
  <c r="AC230"/>
  <c r="AA230"/>
  <c r="Y230"/>
  <c r="W230"/>
  <c r="U230"/>
  <c r="S230"/>
  <c r="Q230"/>
  <c r="O230"/>
  <c r="M230"/>
  <c r="K230"/>
  <c r="I230"/>
  <c r="G230"/>
  <c r="D230"/>
  <c r="AM229"/>
  <c r="AO229" s="1"/>
  <c r="AK229"/>
  <c r="AG229"/>
  <c r="AE229"/>
  <c r="AC229"/>
  <c r="AA229"/>
  <c r="Y229"/>
  <c r="W229"/>
  <c r="U229"/>
  <c r="S229"/>
  <c r="Q229"/>
  <c r="O229"/>
  <c r="M229"/>
  <c r="K229"/>
  <c r="I229"/>
  <c r="G229"/>
  <c r="D229"/>
  <c r="AM228"/>
  <c r="AO228" s="1"/>
  <c r="AK228"/>
  <c r="AG228"/>
  <c r="AE228"/>
  <c r="AC228"/>
  <c r="AA228"/>
  <c r="Y228"/>
  <c r="W228"/>
  <c r="U228"/>
  <c r="S228"/>
  <c r="Q228"/>
  <c r="O228"/>
  <c r="M228"/>
  <c r="K228"/>
  <c r="G228"/>
  <c r="D228"/>
  <c r="AM227"/>
  <c r="AO227" s="1"/>
  <c r="AK227"/>
  <c r="AR227" s="1"/>
  <c r="AS227" s="1"/>
  <c r="AG227"/>
  <c r="AE227"/>
  <c r="AC227"/>
  <c r="AA227"/>
  <c r="Y227"/>
  <c r="W227"/>
  <c r="U227"/>
  <c r="S227"/>
  <c r="Q227"/>
  <c r="O227"/>
  <c r="M227"/>
  <c r="K227"/>
  <c r="AM226"/>
  <c r="AO226" s="1"/>
  <c r="AK226"/>
  <c r="AR226" s="1"/>
  <c r="AS226" s="1"/>
  <c r="AH226"/>
  <c r="AG226"/>
  <c r="AE226"/>
  <c r="AC226"/>
  <c r="AA226"/>
  <c r="Y226"/>
  <c r="W226"/>
  <c r="U226"/>
  <c r="S226"/>
  <c r="Q226"/>
  <c r="O226"/>
  <c r="M226"/>
  <c r="K226"/>
  <c r="AM225"/>
  <c r="AO225" s="1"/>
  <c r="AK225"/>
  <c r="AR225" s="1"/>
  <c r="AO224"/>
  <c r="AM224"/>
  <c r="AK224"/>
  <c r="AR224" s="1"/>
  <c r="AM223"/>
  <c r="AO223" s="1"/>
  <c r="AK223"/>
  <c r="AR223" s="1"/>
  <c r="AM222"/>
  <c r="AO222" s="1"/>
  <c r="AK222"/>
  <c r="AR222" s="1"/>
  <c r="AM221"/>
  <c r="AO221" s="1"/>
  <c r="AK221"/>
  <c r="AR221" s="1"/>
  <c r="AS221" s="1"/>
  <c r="AG221"/>
  <c r="AE221"/>
  <c r="AC221"/>
  <c r="AA221"/>
  <c r="Y221"/>
  <c r="W221"/>
  <c r="U221"/>
  <c r="AL221" s="1"/>
  <c r="S221"/>
  <c r="Q221"/>
  <c r="O221"/>
  <c r="M221"/>
  <c r="K221"/>
  <c r="G221"/>
  <c r="AM220"/>
  <c r="AO220" s="1"/>
  <c r="AK220"/>
  <c r="AR220" s="1"/>
  <c r="AS220" s="1"/>
  <c r="AG220"/>
  <c r="AE220"/>
  <c r="AC220"/>
  <c r="AA220"/>
  <c r="Y220"/>
  <c r="W220"/>
  <c r="U220"/>
  <c r="S220"/>
  <c r="Q220"/>
  <c r="O220"/>
  <c r="M220"/>
  <c r="K220"/>
  <c r="G220"/>
  <c r="C220"/>
  <c r="E222" s="1"/>
  <c r="AM219"/>
  <c r="AO219" s="1"/>
  <c r="AK219"/>
  <c r="AR219" s="1"/>
  <c r="AS219" s="1"/>
  <c r="O219"/>
  <c r="E219"/>
  <c r="Y219" s="1"/>
  <c r="AM218"/>
  <c r="AO218" s="1"/>
  <c r="AK218"/>
  <c r="AR218" s="1"/>
  <c r="AA218"/>
  <c r="U218"/>
  <c r="E218"/>
  <c r="AM217"/>
  <c r="AO217" s="1"/>
  <c r="AK217"/>
  <c r="AR217" s="1"/>
  <c r="E217"/>
  <c r="I217" s="1"/>
  <c r="AM216"/>
  <c r="AO216" s="1"/>
  <c r="AK216"/>
  <c r="Y216"/>
  <c r="Q216"/>
  <c r="E216"/>
  <c r="S216" s="1"/>
  <c r="AM215"/>
  <c r="AO215" s="1"/>
  <c r="AK215"/>
  <c r="S215"/>
  <c r="K215"/>
  <c r="E215"/>
  <c r="AA215" s="1"/>
  <c r="AM214"/>
  <c r="AO214" s="1"/>
  <c r="AK214"/>
  <c r="AR214" s="1"/>
  <c r="E214"/>
  <c r="AA214" s="1"/>
  <c r="AO213"/>
  <c r="AM213"/>
  <c r="AK213"/>
  <c r="AR213" s="1"/>
  <c r="U213"/>
  <c r="E213"/>
  <c r="AM212"/>
  <c r="AO212" s="1"/>
  <c r="AK212"/>
  <c r="AR212" s="1"/>
  <c r="AE212"/>
  <c r="W212"/>
  <c r="G212"/>
  <c r="E212"/>
  <c r="O212" s="1"/>
  <c r="AM211"/>
  <c r="AO211" s="1"/>
  <c r="AK211"/>
  <c r="AR211" s="1"/>
  <c r="AE211"/>
  <c r="Y211"/>
  <c r="G211"/>
  <c r="E211"/>
  <c r="AG211" s="1"/>
  <c r="AM210"/>
  <c r="AO210" s="1"/>
  <c r="AK210"/>
  <c r="AR210" s="1"/>
  <c r="E210"/>
  <c r="Y210" s="1"/>
  <c r="AM209"/>
  <c r="AO209" s="1"/>
  <c r="AK209"/>
  <c r="AR209" s="1"/>
  <c r="AS209" s="1"/>
  <c r="AG209"/>
  <c r="AE209"/>
  <c r="AC209"/>
  <c r="AA209"/>
  <c r="Y209"/>
  <c r="W209"/>
  <c r="U209"/>
  <c r="S209"/>
  <c r="Q209"/>
  <c r="O209"/>
  <c r="M209"/>
  <c r="K209"/>
  <c r="G209"/>
  <c r="AM208"/>
  <c r="AO208" s="1"/>
  <c r="AK208"/>
  <c r="AR208" s="1"/>
  <c r="U208"/>
  <c r="Q208"/>
  <c r="E208"/>
  <c r="O208" s="1"/>
  <c r="AM207"/>
  <c r="AO207" s="1"/>
  <c r="AK207"/>
  <c r="AR207" s="1"/>
  <c r="Q207"/>
  <c r="E207"/>
  <c r="AH204" s="1"/>
  <c r="AM206"/>
  <c r="AO206" s="1"/>
  <c r="AK206"/>
  <c r="AR206" s="1"/>
  <c r="AE206"/>
  <c r="AC206"/>
  <c r="E206"/>
  <c r="AM205"/>
  <c r="AO205" s="1"/>
  <c r="AK205"/>
  <c r="AR205" s="1"/>
  <c r="AG205"/>
  <c r="AC205"/>
  <c r="S205"/>
  <c r="M205"/>
  <c r="E205"/>
  <c r="Q205" s="1"/>
  <c r="AM204"/>
  <c r="AO204" s="1"/>
  <c r="AK204"/>
  <c r="AR204" s="1"/>
  <c r="AS204" s="1"/>
  <c r="AG204"/>
  <c r="AE204"/>
  <c r="AC204"/>
  <c r="AA204"/>
  <c r="Y204"/>
  <c r="W204"/>
  <c r="U204"/>
  <c r="S204"/>
  <c r="Q204"/>
  <c r="O204"/>
  <c r="M204"/>
  <c r="K204"/>
  <c r="G204"/>
  <c r="AM203"/>
  <c r="AO203" s="1"/>
  <c r="AK203"/>
  <c r="AR203" s="1"/>
  <c r="AM202"/>
  <c r="AO202" s="1"/>
  <c r="AK202"/>
  <c r="AR202" s="1"/>
  <c r="AM201"/>
  <c r="AO201" s="1"/>
  <c r="AK201"/>
  <c r="AO200"/>
  <c r="AM200"/>
  <c r="AK200"/>
  <c r="AM199"/>
  <c r="AO199" s="1"/>
  <c r="AK199"/>
  <c r="AR199" s="1"/>
  <c r="AM198"/>
  <c r="AO198" s="1"/>
  <c r="AK198"/>
  <c r="AR198" s="1"/>
  <c r="AM197"/>
  <c r="AO197" s="1"/>
  <c r="AK197"/>
  <c r="AR197" s="1"/>
  <c r="AM196"/>
  <c r="AO196" s="1"/>
  <c r="AK196"/>
  <c r="AR196" s="1"/>
  <c r="AM195"/>
  <c r="AO195" s="1"/>
  <c r="AK195"/>
  <c r="AR195" s="1"/>
  <c r="E195"/>
  <c r="Q195" s="1"/>
  <c r="AM194"/>
  <c r="AO194" s="1"/>
  <c r="AK194"/>
  <c r="AR194" s="1"/>
  <c r="AS194" s="1"/>
  <c r="AG194"/>
  <c r="AE194"/>
  <c r="AC194"/>
  <c r="AA194"/>
  <c r="Y194"/>
  <c r="W194"/>
  <c r="U194"/>
  <c r="S194"/>
  <c r="Q194"/>
  <c r="O194"/>
  <c r="M194"/>
  <c r="K194"/>
  <c r="G194"/>
  <c r="C194"/>
  <c r="E196" s="1"/>
  <c r="AM193"/>
  <c r="AO193" s="1"/>
  <c r="AK193"/>
  <c r="AR193" s="1"/>
  <c r="AS193" s="1"/>
  <c r="AG193"/>
  <c r="AE193"/>
  <c r="AC193"/>
  <c r="AA193"/>
  <c r="Y193"/>
  <c r="W193"/>
  <c r="U193"/>
  <c r="S193"/>
  <c r="Q193"/>
  <c r="O193"/>
  <c r="M193"/>
  <c r="K193"/>
  <c r="G193"/>
  <c r="AM192"/>
  <c r="AO192" s="1"/>
  <c r="AK192"/>
  <c r="AR192" s="1"/>
  <c r="AS192" s="1"/>
  <c r="AG192"/>
  <c r="AE192"/>
  <c r="AC192"/>
  <c r="AA192"/>
  <c r="Y192"/>
  <c r="W192"/>
  <c r="U192"/>
  <c r="S192"/>
  <c r="Q192"/>
  <c r="O192"/>
  <c r="M192"/>
  <c r="K192"/>
  <c r="G192"/>
  <c r="AM191"/>
  <c r="AO191" s="1"/>
  <c r="AK191"/>
  <c r="AR191" s="1"/>
  <c r="E191"/>
  <c r="AM190"/>
  <c r="AO190" s="1"/>
  <c r="AK190"/>
  <c r="AR190" s="1"/>
  <c r="AS190" s="1"/>
  <c r="AG190"/>
  <c r="AE190"/>
  <c r="AC190"/>
  <c r="AA190"/>
  <c r="Y190"/>
  <c r="W190"/>
  <c r="U190"/>
  <c r="S190"/>
  <c r="Q190"/>
  <c r="O190"/>
  <c r="M190"/>
  <c r="K190"/>
  <c r="G190"/>
  <c r="AM189"/>
  <c r="AO189" s="1"/>
  <c r="AK189"/>
  <c r="AR189" s="1"/>
  <c r="AM188"/>
  <c r="AO188" s="1"/>
  <c r="AK188"/>
  <c r="AR188" s="1"/>
  <c r="AO187"/>
  <c r="AM187"/>
  <c r="AK187"/>
  <c r="AR187" s="1"/>
  <c r="AM186"/>
  <c r="AO186" s="1"/>
  <c r="AK186"/>
  <c r="AR186" s="1"/>
  <c r="AM185"/>
  <c r="AO185" s="1"/>
  <c r="AK185"/>
  <c r="AR185" s="1"/>
  <c r="AM184"/>
  <c r="AO184" s="1"/>
  <c r="AK184"/>
  <c r="AR184" s="1"/>
  <c r="AM183"/>
  <c r="AO183" s="1"/>
  <c r="AK183"/>
  <c r="AR183" s="1"/>
  <c r="AM182"/>
  <c r="AO182" s="1"/>
  <c r="AK182"/>
  <c r="AR182" s="1"/>
  <c r="AS182" s="1"/>
  <c r="AG182"/>
  <c r="AE182"/>
  <c r="AC182"/>
  <c r="AA182"/>
  <c r="Y182"/>
  <c r="W182"/>
  <c r="U182"/>
  <c r="S182"/>
  <c r="Q182"/>
  <c r="O182"/>
  <c r="M182"/>
  <c r="K182"/>
  <c r="G182"/>
  <c r="AM181"/>
  <c r="AO181" s="1"/>
  <c r="AK181"/>
  <c r="AR181" s="1"/>
  <c r="AS181" s="1"/>
  <c r="AG181"/>
  <c r="AE181"/>
  <c r="AC181"/>
  <c r="AA181"/>
  <c r="Y181"/>
  <c r="W181"/>
  <c r="U181"/>
  <c r="S181"/>
  <c r="Q181"/>
  <c r="O181"/>
  <c r="M181"/>
  <c r="K181"/>
  <c r="G181"/>
  <c r="AM180"/>
  <c r="AO180" s="1"/>
  <c r="AK180"/>
  <c r="AR180" s="1"/>
  <c r="AS180" s="1"/>
  <c r="AG180"/>
  <c r="AE180"/>
  <c r="AC180"/>
  <c r="AA180"/>
  <c r="Y180"/>
  <c r="W180"/>
  <c r="U180"/>
  <c r="S180"/>
  <c r="Q180"/>
  <c r="O180"/>
  <c r="M180"/>
  <c r="K180"/>
  <c r="G180"/>
  <c r="C180"/>
  <c r="E188" s="1"/>
  <c r="O188" s="1"/>
  <c r="AM179"/>
  <c r="AO179" s="1"/>
  <c r="AK179"/>
  <c r="AR179" s="1"/>
  <c r="AG179"/>
  <c r="U179"/>
  <c r="E179"/>
  <c r="S179" s="1"/>
  <c r="AM178"/>
  <c r="AO178" s="1"/>
  <c r="AK178"/>
  <c r="AR178" s="1"/>
  <c r="AS178" s="1"/>
  <c r="AC178"/>
  <c r="G178"/>
  <c r="E178"/>
  <c r="AM177"/>
  <c r="AO177" s="1"/>
  <c r="AK177"/>
  <c r="AR177" s="1"/>
  <c r="AS177" s="1"/>
  <c r="AC177"/>
  <c r="U177"/>
  <c r="S177"/>
  <c r="Q177"/>
  <c r="M177"/>
  <c r="E177"/>
  <c r="AO176"/>
  <c r="AM176"/>
  <c r="AK176"/>
  <c r="AR176" s="1"/>
  <c r="AA176"/>
  <c r="Y176"/>
  <c r="U176"/>
  <c r="K176"/>
  <c r="E176"/>
  <c r="AC176" s="1"/>
  <c r="AM175"/>
  <c r="AO175" s="1"/>
  <c r="AK175"/>
  <c r="AR175" s="1"/>
  <c r="AS175" s="1"/>
  <c r="AH175"/>
  <c r="AG175"/>
  <c r="AE175"/>
  <c r="AC175"/>
  <c r="AA175"/>
  <c r="Y175"/>
  <c r="W175"/>
  <c r="U175"/>
  <c r="S175"/>
  <c r="Q175"/>
  <c r="O175"/>
  <c r="M175"/>
  <c r="K175"/>
  <c r="G175"/>
  <c r="AM174"/>
  <c r="AO174" s="1"/>
  <c r="AK174"/>
  <c r="AR174" s="1"/>
  <c r="AM173"/>
  <c r="AO173" s="1"/>
  <c r="AK173"/>
  <c r="AR173" s="1"/>
  <c r="AM172"/>
  <c r="AO172" s="1"/>
  <c r="AK172"/>
  <c r="AR172" s="1"/>
  <c r="AO171"/>
  <c r="AM171"/>
  <c r="AK171"/>
  <c r="AR171" s="1"/>
  <c r="AM170"/>
  <c r="AO170" s="1"/>
  <c r="AK170"/>
  <c r="AR170" s="1"/>
  <c r="AS170" s="1"/>
  <c r="AG170"/>
  <c r="AE170"/>
  <c r="AC170"/>
  <c r="AA170"/>
  <c r="Y170"/>
  <c r="W170"/>
  <c r="U170"/>
  <c r="S170"/>
  <c r="Q170"/>
  <c r="O170"/>
  <c r="M170"/>
  <c r="K170"/>
  <c r="G170"/>
  <c r="C170"/>
  <c r="AM169"/>
  <c r="AO169" s="1"/>
  <c r="AK169"/>
  <c r="AR169" s="1"/>
  <c r="E169"/>
  <c r="AM168"/>
  <c r="AO168" s="1"/>
  <c r="AK168"/>
  <c r="AR168" s="1"/>
  <c r="W168"/>
  <c r="E168"/>
  <c r="AM167"/>
  <c r="AO167" s="1"/>
  <c r="AK167"/>
  <c r="AR167" s="1"/>
  <c r="AA167"/>
  <c r="E167"/>
  <c r="Y167" s="1"/>
  <c r="AM166"/>
  <c r="AO166" s="1"/>
  <c r="AK166"/>
  <c r="AR166" s="1"/>
  <c r="AS166" s="1"/>
  <c r="E166"/>
  <c r="W166" s="1"/>
  <c r="AO165"/>
  <c r="AM165"/>
  <c r="AK165"/>
  <c r="AR165" s="1"/>
  <c r="AA165"/>
  <c r="O165"/>
  <c r="E165"/>
  <c r="U165" s="1"/>
  <c r="AM164"/>
  <c r="AO164" s="1"/>
  <c r="AK164"/>
  <c r="AR164" s="1"/>
  <c r="AS164" s="1"/>
  <c r="AG164"/>
  <c r="AE164"/>
  <c r="AC164"/>
  <c r="AA164"/>
  <c r="Y164"/>
  <c r="W164"/>
  <c r="U164"/>
  <c r="S164"/>
  <c r="Q164"/>
  <c r="O164"/>
  <c r="M164"/>
  <c r="K164"/>
  <c r="G164"/>
  <c r="AM163"/>
  <c r="AO163" s="1"/>
  <c r="AK163"/>
  <c r="AE163"/>
  <c r="E163"/>
  <c r="M163" s="1"/>
  <c r="AM162"/>
  <c r="AO162" s="1"/>
  <c r="AK162"/>
  <c r="AR162" s="1"/>
  <c r="Y162"/>
  <c r="E162"/>
  <c r="S162" s="1"/>
  <c r="AM161"/>
  <c r="AO161" s="1"/>
  <c r="AK161"/>
  <c r="AR161" s="1"/>
  <c r="E161"/>
  <c r="AM160"/>
  <c r="AO160" s="1"/>
  <c r="AK160"/>
  <c r="AR160" s="1"/>
  <c r="E160"/>
  <c r="AM159"/>
  <c r="AO159" s="1"/>
  <c r="AK159"/>
  <c r="AR159" s="1"/>
  <c r="E159"/>
  <c r="AA159" s="1"/>
  <c r="AM158"/>
  <c r="AO158" s="1"/>
  <c r="AK158"/>
  <c r="AR158" s="1"/>
  <c r="E158"/>
  <c r="AM157"/>
  <c r="AO157" s="1"/>
  <c r="AK157"/>
  <c r="AR157" s="1"/>
  <c r="U157"/>
  <c r="M157"/>
  <c r="E157"/>
  <c r="Y157" s="1"/>
  <c r="AM156"/>
  <c r="AO156" s="1"/>
  <c r="AK156"/>
  <c r="AR156" s="1"/>
  <c r="AS156" s="1"/>
  <c r="AG156"/>
  <c r="AE156"/>
  <c r="AC156"/>
  <c r="AA156"/>
  <c r="Y156"/>
  <c r="W156"/>
  <c r="U156"/>
  <c r="S156"/>
  <c r="Q156"/>
  <c r="O156"/>
  <c r="M156"/>
  <c r="K156"/>
  <c r="G156"/>
  <c r="AM155"/>
  <c r="AO155" s="1"/>
  <c r="AK155"/>
  <c r="AG155"/>
  <c r="AE155"/>
  <c r="Y155"/>
  <c r="O155"/>
  <c r="M155"/>
  <c r="K155"/>
  <c r="E155"/>
  <c r="AC155" s="1"/>
  <c r="AM154"/>
  <c r="AO154" s="1"/>
  <c r="AK154"/>
  <c r="E154"/>
  <c r="AM153"/>
  <c r="AO153" s="1"/>
  <c r="AK153"/>
  <c r="AR153" s="1"/>
  <c r="AA153"/>
  <c r="S153"/>
  <c r="O153"/>
  <c r="G153"/>
  <c r="E153"/>
  <c r="AC153" s="1"/>
  <c r="AM152"/>
  <c r="AO152" s="1"/>
  <c r="AK152"/>
  <c r="AR152" s="1"/>
  <c r="AS152" s="1"/>
  <c r="E152"/>
  <c r="K152" s="1"/>
  <c r="AM151"/>
  <c r="AO151" s="1"/>
  <c r="AK151"/>
  <c r="AR151" s="1"/>
  <c r="E151"/>
  <c r="AM150"/>
  <c r="AO150" s="1"/>
  <c r="AK150"/>
  <c r="AR150" s="1"/>
  <c r="E150"/>
  <c r="AM149"/>
  <c r="AO149" s="1"/>
  <c r="AK149"/>
  <c r="AR149" s="1"/>
  <c r="AA149"/>
  <c r="E149"/>
  <c r="U149" s="1"/>
  <c r="AM148"/>
  <c r="AO148" s="1"/>
  <c r="AK148"/>
  <c r="AR148" s="1"/>
  <c r="AS148" s="1"/>
  <c r="AG148"/>
  <c r="AE148"/>
  <c r="AC148"/>
  <c r="AA148"/>
  <c r="Y148"/>
  <c r="W148"/>
  <c r="U148"/>
  <c r="S148"/>
  <c r="Q148"/>
  <c r="O148"/>
  <c r="M148"/>
  <c r="K148"/>
  <c r="G148"/>
  <c r="AO147"/>
  <c r="AM147"/>
  <c r="AK147"/>
  <c r="AR147" s="1"/>
  <c r="AS147" s="1"/>
  <c r="E147"/>
  <c r="I147" s="1"/>
  <c r="AM146"/>
  <c r="AO146" s="1"/>
  <c r="AK146"/>
  <c r="AR146" s="1"/>
  <c r="E146"/>
  <c r="AM145"/>
  <c r="AO145" s="1"/>
  <c r="AK145"/>
  <c r="AR145" s="1"/>
  <c r="E145"/>
  <c r="AM144"/>
  <c r="AO144" s="1"/>
  <c r="AK144"/>
  <c r="AR144" s="1"/>
  <c r="AC144"/>
  <c r="Y144"/>
  <c r="W144"/>
  <c r="I144"/>
  <c r="E144"/>
  <c r="G144" s="1"/>
  <c r="AO143"/>
  <c r="AM143"/>
  <c r="AK143"/>
  <c r="AR143" s="1"/>
  <c r="E143"/>
  <c r="A143"/>
  <c r="A144" s="1"/>
  <c r="A145" s="1"/>
  <c r="A146" s="1"/>
  <c r="A147" s="1"/>
  <c r="AM142"/>
  <c r="AO142" s="1"/>
  <c r="AK142"/>
  <c r="AR142" s="1"/>
  <c r="E142"/>
  <c r="AM141"/>
  <c r="AO141" s="1"/>
  <c r="AK141"/>
  <c r="AR141" s="1"/>
  <c r="Y141"/>
  <c r="M141"/>
  <c r="E141"/>
  <c r="AA141" s="1"/>
  <c r="AM140"/>
  <c r="AO140" s="1"/>
  <c r="AK140"/>
  <c r="AR140" s="1"/>
  <c r="E140"/>
  <c r="I140" s="1"/>
  <c r="AM139"/>
  <c r="AO139" s="1"/>
  <c r="AK139"/>
  <c r="AR139" s="1"/>
  <c r="E139"/>
  <c r="AM138"/>
  <c r="AO138" s="1"/>
  <c r="AK138"/>
  <c r="AC138"/>
  <c r="W138"/>
  <c r="S138"/>
  <c r="K138"/>
  <c r="G138"/>
  <c r="E138"/>
  <c r="Y138" s="1"/>
  <c r="AM137"/>
  <c r="AO137" s="1"/>
  <c r="AK137"/>
  <c r="AG137"/>
  <c r="W137"/>
  <c r="G137"/>
  <c r="E137"/>
  <c r="S137" s="1"/>
  <c r="AM136"/>
  <c r="AO136" s="1"/>
  <c r="AK136"/>
  <c r="AR136" s="1"/>
  <c r="AC136"/>
  <c r="S136"/>
  <c r="E136"/>
  <c r="Q136" s="1"/>
  <c r="AM135"/>
  <c r="AO135" s="1"/>
  <c r="AK135"/>
  <c r="AR135" s="1"/>
  <c r="AS135" s="1"/>
  <c r="AG135"/>
  <c r="AE135"/>
  <c r="AC135"/>
  <c r="AA135"/>
  <c r="Y135"/>
  <c r="W135"/>
  <c r="U135"/>
  <c r="S135"/>
  <c r="Q135"/>
  <c r="O135"/>
  <c r="M135"/>
  <c r="K135"/>
  <c r="G135"/>
  <c r="AM134"/>
  <c r="AO134" s="1"/>
  <c r="AK134"/>
  <c r="AR134" s="1"/>
  <c r="AG134"/>
  <c r="E134"/>
  <c r="S134" s="1"/>
  <c r="AM133"/>
  <c r="AO133" s="1"/>
  <c r="AK133"/>
  <c r="AR133" s="1"/>
  <c r="AA133"/>
  <c r="Y133"/>
  <c r="O133"/>
  <c r="M133"/>
  <c r="K133"/>
  <c r="E133"/>
  <c r="AC133" s="1"/>
  <c r="AM132"/>
  <c r="AO132" s="1"/>
  <c r="AK132"/>
  <c r="AR132" s="1"/>
  <c r="E132"/>
  <c r="AO131"/>
  <c r="AM131"/>
  <c r="AK131"/>
  <c r="AR131" s="1"/>
  <c r="AS131" s="1"/>
  <c r="AA131"/>
  <c r="U131"/>
  <c r="O131"/>
  <c r="G131"/>
  <c r="E131"/>
  <c r="Y131" s="1"/>
  <c r="AM130"/>
  <c r="AO130" s="1"/>
  <c r="AK130"/>
  <c r="E130"/>
  <c r="AM129"/>
  <c r="AO129" s="1"/>
  <c r="AK129"/>
  <c r="AA129"/>
  <c r="M129"/>
  <c r="E129"/>
  <c r="Y129" s="1"/>
  <c r="AM128"/>
  <c r="AO128" s="1"/>
  <c r="AK128"/>
  <c r="AR128" s="1"/>
  <c r="E128"/>
  <c r="AM127"/>
  <c r="AO127" s="1"/>
  <c r="AK127"/>
  <c r="AR127" s="1"/>
  <c r="E127"/>
  <c r="O127" s="1"/>
  <c r="AM126"/>
  <c r="AO126" s="1"/>
  <c r="AK126"/>
  <c r="AR126" s="1"/>
  <c r="E126"/>
  <c r="AM125"/>
  <c r="AO125" s="1"/>
  <c r="AK125"/>
  <c r="AR125" s="1"/>
  <c r="E125"/>
  <c r="AM124"/>
  <c r="AO124" s="1"/>
  <c r="AK124"/>
  <c r="AR124" s="1"/>
  <c r="AS124" s="1"/>
  <c r="AG124"/>
  <c r="AE124"/>
  <c r="AC124"/>
  <c r="AA124"/>
  <c r="W124"/>
  <c r="U124"/>
  <c r="S124"/>
  <c r="Q124"/>
  <c r="O124"/>
  <c r="M124"/>
  <c r="K124"/>
  <c r="G124"/>
  <c r="AM123"/>
  <c r="AO123" s="1"/>
  <c r="AK123"/>
  <c r="AR123" s="1"/>
  <c r="E123"/>
  <c r="AC123" s="1"/>
  <c r="AM122"/>
  <c r="AO122" s="1"/>
  <c r="AK122"/>
  <c r="AR122" s="1"/>
  <c r="E122"/>
  <c r="AM121"/>
  <c r="AO121" s="1"/>
  <c r="AK121"/>
  <c r="AR121" s="1"/>
  <c r="AS121" s="1"/>
  <c r="Q121"/>
  <c r="O121"/>
  <c r="E121"/>
  <c r="Y121" s="1"/>
  <c r="AM120"/>
  <c r="AO120" s="1"/>
  <c r="AK120"/>
  <c r="S120"/>
  <c r="E120"/>
  <c r="AG120" s="1"/>
  <c r="AM119"/>
  <c r="AO119" s="1"/>
  <c r="AK119"/>
  <c r="AG119"/>
  <c r="W119"/>
  <c r="Q119"/>
  <c r="O119"/>
  <c r="K119"/>
  <c r="E119"/>
  <c r="AE119" s="1"/>
  <c r="AO118"/>
  <c r="AM118"/>
  <c r="AK118"/>
  <c r="AR118" s="1"/>
  <c r="AS118" s="1"/>
  <c r="AG118"/>
  <c r="U118"/>
  <c r="E118"/>
  <c r="Q118" s="1"/>
  <c r="AM117"/>
  <c r="AO117" s="1"/>
  <c r="AK117"/>
  <c r="AR117" s="1"/>
  <c r="E117"/>
  <c r="AM116"/>
  <c r="AO116" s="1"/>
  <c r="AK116"/>
  <c r="AR116" s="1"/>
  <c r="AE116"/>
  <c r="AA116"/>
  <c r="W116"/>
  <c r="U116"/>
  <c r="E116"/>
  <c r="AM115"/>
  <c r="AO115" s="1"/>
  <c r="AK115"/>
  <c r="AR115" s="1"/>
  <c r="AS115" s="1"/>
  <c r="AG115"/>
  <c r="W115"/>
  <c r="S115"/>
  <c r="Q115"/>
  <c r="O115"/>
  <c r="E115"/>
  <c r="AM114"/>
  <c r="AO114" s="1"/>
  <c r="AK114"/>
  <c r="AR114" s="1"/>
  <c r="AS114" s="1"/>
  <c r="AG114"/>
  <c r="AE114"/>
  <c r="AC114"/>
  <c r="AA114"/>
  <c r="Y114"/>
  <c r="W114"/>
  <c r="U114"/>
  <c r="S114"/>
  <c r="Q114"/>
  <c r="O114"/>
  <c r="M114"/>
  <c r="K114"/>
  <c r="G114"/>
  <c r="AM113"/>
  <c r="AO113" s="1"/>
  <c r="AK113"/>
  <c r="AR113" s="1"/>
  <c r="AS113" s="1"/>
  <c r="Q113"/>
  <c r="E113"/>
  <c r="U113" s="1"/>
  <c r="AM112"/>
  <c r="AO112" s="1"/>
  <c r="AK112"/>
  <c r="AR112" s="1"/>
  <c r="AS112" s="1"/>
  <c r="AC112"/>
  <c r="M112"/>
  <c r="K112"/>
  <c r="G112"/>
  <c r="E112"/>
  <c r="AM111"/>
  <c r="AO111" s="1"/>
  <c r="AK111"/>
  <c r="AR111" s="1"/>
  <c r="E111"/>
  <c r="U111" s="1"/>
  <c r="AM110"/>
  <c r="AO110" s="1"/>
  <c r="AK110"/>
  <c r="AA110"/>
  <c r="U110"/>
  <c r="S110"/>
  <c r="K110"/>
  <c r="G110"/>
  <c r="E110"/>
  <c r="Y110" s="1"/>
  <c r="AM109"/>
  <c r="AO109" s="1"/>
  <c r="AK109"/>
  <c r="AC109"/>
  <c r="E109"/>
  <c r="AM108"/>
  <c r="AO108" s="1"/>
  <c r="AK108"/>
  <c r="AR108" s="1"/>
  <c r="U108"/>
  <c r="M108"/>
  <c r="K108"/>
  <c r="E108"/>
  <c r="AA108" s="1"/>
  <c r="AM107"/>
  <c r="AO107" s="1"/>
  <c r="AK107"/>
  <c r="AR107" s="1"/>
  <c r="AE107"/>
  <c r="E107"/>
  <c r="AG107" s="1"/>
  <c r="AO106"/>
  <c r="AM106"/>
  <c r="AK106"/>
  <c r="AR106" s="1"/>
  <c r="AS106" s="1"/>
  <c r="AA106"/>
  <c r="Y106"/>
  <c r="U106"/>
  <c r="M106"/>
  <c r="G106"/>
  <c r="E106"/>
  <c r="S106" s="1"/>
  <c r="AM105"/>
  <c r="AO105" s="1"/>
  <c r="AK105"/>
  <c r="AR105" s="1"/>
  <c r="AS105" s="1"/>
  <c r="E105"/>
  <c r="AM104"/>
  <c r="AO104" s="1"/>
  <c r="AK104"/>
  <c r="AR104" s="1"/>
  <c r="AS104" s="1"/>
  <c r="AG104"/>
  <c r="AE104"/>
  <c r="AC104"/>
  <c r="AA104"/>
  <c r="Y104"/>
  <c r="W104"/>
  <c r="U104"/>
  <c r="S104"/>
  <c r="Q104"/>
  <c r="O104"/>
  <c r="M104"/>
  <c r="K104"/>
  <c r="G104"/>
  <c r="AM103"/>
  <c r="AO103" s="1"/>
  <c r="AK103"/>
  <c r="AR103" s="1"/>
  <c r="AM102"/>
  <c r="AO102" s="1"/>
  <c r="AK102"/>
  <c r="AR102" s="1"/>
  <c r="AM101"/>
  <c r="AO101" s="1"/>
  <c r="AK101"/>
  <c r="AM100"/>
  <c r="AO100" s="1"/>
  <c r="AK100"/>
  <c r="AM99"/>
  <c r="AO99" s="1"/>
  <c r="AK99"/>
  <c r="AR99" s="1"/>
  <c r="AM98"/>
  <c r="AO98" s="1"/>
  <c r="AK98"/>
  <c r="AR98" s="1"/>
  <c r="AM97"/>
  <c r="AO97" s="1"/>
  <c r="AK97"/>
  <c r="AR97" s="1"/>
  <c r="AM96"/>
  <c r="AO96" s="1"/>
  <c r="AK96"/>
  <c r="AR96" s="1"/>
  <c r="AS96" s="1"/>
  <c r="AG96"/>
  <c r="AE96"/>
  <c r="AC96"/>
  <c r="AA96"/>
  <c r="Y96"/>
  <c r="W96"/>
  <c r="U96"/>
  <c r="S96"/>
  <c r="Q96"/>
  <c r="O96"/>
  <c r="M96"/>
  <c r="K96"/>
  <c r="G96"/>
  <c r="C96"/>
  <c r="E101" s="1"/>
  <c r="AO95"/>
  <c r="AM95"/>
  <c r="AK95"/>
  <c r="AR95" s="1"/>
  <c r="AM94"/>
  <c r="AO94" s="1"/>
  <c r="AK94"/>
  <c r="AM93"/>
  <c r="AO93" s="1"/>
  <c r="AK93"/>
  <c r="AR93" s="1"/>
  <c r="E93"/>
  <c r="AM92"/>
  <c r="AO92" s="1"/>
  <c r="AK92"/>
  <c r="AR92" s="1"/>
  <c r="AM91"/>
  <c r="AO91" s="1"/>
  <c r="AK91"/>
  <c r="AM90"/>
  <c r="AO90" s="1"/>
  <c r="AK90"/>
  <c r="AR90" s="1"/>
  <c r="AM89"/>
  <c r="AO89" s="1"/>
  <c r="AK89"/>
  <c r="AR89" s="1"/>
  <c r="AM88"/>
  <c r="AO88" s="1"/>
  <c r="AK88"/>
  <c r="AR88" s="1"/>
  <c r="AM87"/>
  <c r="AO87" s="1"/>
  <c r="AK87"/>
  <c r="AR87" s="1"/>
  <c r="AM86"/>
  <c r="AO86" s="1"/>
  <c r="AK86"/>
  <c r="AR86" s="1"/>
  <c r="AM85"/>
  <c r="AO85" s="1"/>
  <c r="AK85"/>
  <c r="AR85" s="1"/>
  <c r="AM84"/>
  <c r="AO84" s="1"/>
  <c r="AK84"/>
  <c r="AR84" s="1"/>
  <c r="AM83"/>
  <c r="AO83" s="1"/>
  <c r="AK83"/>
  <c r="AR83" s="1"/>
  <c r="AS83" s="1"/>
  <c r="AG83"/>
  <c r="AE83"/>
  <c r="AC83"/>
  <c r="AA83"/>
  <c r="Y83"/>
  <c r="W83"/>
  <c r="U83"/>
  <c r="S83"/>
  <c r="Q83"/>
  <c r="O83"/>
  <c r="M83"/>
  <c r="K83"/>
  <c r="G83"/>
  <c r="C83"/>
  <c r="E85" s="1"/>
  <c r="AM82"/>
  <c r="AO82" s="1"/>
  <c r="AK82"/>
  <c r="AR82" s="1"/>
  <c r="E82"/>
  <c r="AM81"/>
  <c r="AO81" s="1"/>
  <c r="AK81"/>
  <c r="AR81" s="1"/>
  <c r="E81"/>
  <c r="AM80"/>
  <c r="AO80" s="1"/>
  <c r="AK80"/>
  <c r="AR80" s="1"/>
  <c r="E80"/>
  <c r="AM79"/>
  <c r="AO79" s="1"/>
  <c r="AK79"/>
  <c r="AR79" s="1"/>
  <c r="AS79" s="1"/>
  <c r="E79"/>
  <c r="AG79" s="1"/>
  <c r="AM78"/>
  <c r="AO78" s="1"/>
  <c r="AK78"/>
  <c r="AE78"/>
  <c r="U78"/>
  <c r="Q78"/>
  <c r="O78"/>
  <c r="M78"/>
  <c r="K78"/>
  <c r="E78"/>
  <c r="S78" s="1"/>
  <c r="AM77"/>
  <c r="AO77" s="1"/>
  <c r="AK77"/>
  <c r="AR77" s="1"/>
  <c r="AE77"/>
  <c r="O77"/>
  <c r="E77"/>
  <c r="W77" s="1"/>
  <c r="AO76"/>
  <c r="AM76"/>
  <c r="AK76"/>
  <c r="AR76" s="1"/>
  <c r="AS76" s="1"/>
  <c r="AG76"/>
  <c r="AE76"/>
  <c r="Q76"/>
  <c r="I76"/>
  <c r="G76"/>
  <c r="E76"/>
  <c r="O76" s="1"/>
  <c r="AM75"/>
  <c r="AO75" s="1"/>
  <c r="AK75"/>
  <c r="AR75" s="1"/>
  <c r="Y75"/>
  <c r="E75"/>
  <c r="AM74"/>
  <c r="AO74" s="1"/>
  <c r="AK74"/>
  <c r="AR74" s="1"/>
  <c r="AS74" s="1"/>
  <c r="AC74"/>
  <c r="AA74"/>
  <c r="U74"/>
  <c r="G74"/>
  <c r="E74"/>
  <c r="W74" s="1"/>
  <c r="AM73"/>
  <c r="AO73" s="1"/>
  <c r="AK73"/>
  <c r="AR73" s="1"/>
  <c r="E73"/>
  <c r="AM72"/>
  <c r="AO72" s="1"/>
  <c r="AK72"/>
  <c r="AR72" s="1"/>
  <c r="AS72" s="1"/>
  <c r="AG72"/>
  <c r="AE72"/>
  <c r="AC72"/>
  <c r="AA72"/>
  <c r="Y72"/>
  <c r="W72"/>
  <c r="U72"/>
  <c r="S72"/>
  <c r="Q72"/>
  <c r="O72"/>
  <c r="M72"/>
  <c r="K72"/>
  <c r="G72"/>
  <c r="AM71"/>
  <c r="AO71" s="1"/>
  <c r="AK71"/>
  <c r="AR71" s="1"/>
  <c r="E71"/>
  <c r="AM70"/>
  <c r="AO70" s="1"/>
  <c r="AK70"/>
  <c r="AR70" s="1"/>
  <c r="AS70" s="1"/>
  <c r="AC70"/>
  <c r="Y70"/>
  <c r="S70"/>
  <c r="Q70"/>
  <c r="O70"/>
  <c r="M70"/>
  <c r="G70"/>
  <c r="E70"/>
  <c r="AG70" s="1"/>
  <c r="AM69"/>
  <c r="AO69" s="1"/>
  <c r="AK69"/>
  <c r="AR69" s="1"/>
  <c r="AA69"/>
  <c r="E69"/>
  <c r="AG69" s="1"/>
  <c r="AO68"/>
  <c r="AM68"/>
  <c r="AK68"/>
  <c r="AR68" s="1"/>
  <c r="AS68" s="1"/>
  <c r="K68"/>
  <c r="E68"/>
  <c r="AA68" s="1"/>
  <c r="AM67"/>
  <c r="AO67" s="1"/>
  <c r="AK67"/>
  <c r="AR67" s="1"/>
  <c r="E67"/>
  <c r="AO66"/>
  <c r="AM66"/>
  <c r="AK66"/>
  <c r="AR66" s="1"/>
  <c r="AS66" s="1"/>
  <c r="W66"/>
  <c r="Q66"/>
  <c r="K66"/>
  <c r="E66"/>
  <c r="Y66" s="1"/>
  <c r="AM65"/>
  <c r="AO65" s="1"/>
  <c r="AK65"/>
  <c r="E65"/>
  <c r="AQ65" s="1"/>
  <c r="AM64"/>
  <c r="AO64" s="1"/>
  <c r="AK64"/>
  <c r="AR64" s="1"/>
  <c r="AS64" s="1"/>
  <c r="U64"/>
  <c r="E64"/>
  <c r="S64" s="1"/>
  <c r="AM63"/>
  <c r="AO63" s="1"/>
  <c r="AK63"/>
  <c r="AR63" s="1"/>
  <c r="AG63"/>
  <c r="E63"/>
  <c r="AM62"/>
  <c r="AO62" s="1"/>
  <c r="AK62"/>
  <c r="AR62" s="1"/>
  <c r="AS62" s="1"/>
  <c r="AA62"/>
  <c r="U62"/>
  <c r="S62"/>
  <c r="E62"/>
  <c r="AM61"/>
  <c r="AO61" s="1"/>
  <c r="AK61"/>
  <c r="AR61" s="1"/>
  <c r="E61"/>
  <c r="AM60"/>
  <c r="AO60" s="1"/>
  <c r="AK60"/>
  <c r="AR60" s="1"/>
  <c r="K60"/>
  <c r="E60"/>
  <c r="AM59"/>
  <c r="AO59" s="1"/>
  <c r="AK59"/>
  <c r="AR59" s="1"/>
  <c r="AS59" s="1"/>
  <c r="AG59"/>
  <c r="AE59"/>
  <c r="AC59"/>
  <c r="AA59"/>
  <c r="Y59"/>
  <c r="W59"/>
  <c r="U59"/>
  <c r="S59"/>
  <c r="Q59"/>
  <c r="O59"/>
  <c r="M59"/>
  <c r="K59"/>
  <c r="G59"/>
  <c r="AM58"/>
  <c r="AO58" s="1"/>
  <c r="AK58"/>
  <c r="AR58" s="1"/>
  <c r="E58"/>
  <c r="O58" s="1"/>
  <c r="AM57"/>
  <c r="AO57" s="1"/>
  <c r="AK57"/>
  <c r="E57"/>
  <c r="AM56"/>
  <c r="AO56" s="1"/>
  <c r="AK56"/>
  <c r="AR56" s="1"/>
  <c r="E56"/>
  <c r="AM55"/>
  <c r="AO55" s="1"/>
  <c r="AK55"/>
  <c r="AR55" s="1"/>
  <c r="AS55" s="1"/>
  <c r="Q55"/>
  <c r="E55"/>
  <c r="AG55" s="1"/>
  <c r="AM54"/>
  <c r="AO54" s="1"/>
  <c r="AK54"/>
  <c r="AR54" s="1"/>
  <c r="W54"/>
  <c r="E54"/>
  <c r="AM53"/>
  <c r="AO53" s="1"/>
  <c r="AK53"/>
  <c r="AR53" s="1"/>
  <c r="AS53" s="1"/>
  <c r="E53"/>
  <c r="AM52"/>
  <c r="AO52" s="1"/>
  <c r="AK52"/>
  <c r="AR52" s="1"/>
  <c r="AG52"/>
  <c r="AC52"/>
  <c r="Y52"/>
  <c r="I52"/>
  <c r="G52"/>
  <c r="E52"/>
  <c r="W52" s="1"/>
  <c r="AM51"/>
  <c r="AO51" s="1"/>
  <c r="AK51"/>
  <c r="AR51" s="1"/>
  <c r="E51"/>
  <c r="K51" s="1"/>
  <c r="AM50"/>
  <c r="AO50" s="1"/>
  <c r="AK50"/>
  <c r="AR50" s="1"/>
  <c r="AS50" s="1"/>
  <c r="AC50"/>
  <c r="E50"/>
  <c r="AM49"/>
  <c r="AO49" s="1"/>
  <c r="AK49"/>
  <c r="AR49" s="1"/>
  <c r="AE49"/>
  <c r="I49"/>
  <c r="E49"/>
  <c r="AM48"/>
  <c r="AO48" s="1"/>
  <c r="AK48"/>
  <c r="AR48" s="1"/>
  <c r="AA48"/>
  <c r="E48"/>
  <c r="W48" s="1"/>
  <c r="AM47"/>
  <c r="AO47" s="1"/>
  <c r="AK47"/>
  <c r="AR47" s="1"/>
  <c r="AG47"/>
  <c r="AC47"/>
  <c r="AA47"/>
  <c r="S47"/>
  <c r="M47"/>
  <c r="K47"/>
  <c r="E47"/>
  <c r="Q47" s="1"/>
  <c r="AM46"/>
  <c r="AO46" s="1"/>
  <c r="AK46"/>
  <c r="AR46" s="1"/>
  <c r="E46"/>
  <c r="AM45"/>
  <c r="AO45" s="1"/>
  <c r="AK45"/>
  <c r="AR45" s="1"/>
  <c r="AS45" s="1"/>
  <c r="AG45"/>
  <c r="AE45"/>
  <c r="AC45"/>
  <c r="AA45"/>
  <c r="Y45"/>
  <c r="W45"/>
  <c r="U45"/>
  <c r="S45"/>
  <c r="Q45"/>
  <c r="O45"/>
  <c r="M45"/>
  <c r="K45"/>
  <c r="G45"/>
  <c r="AM44"/>
  <c r="AO44" s="1"/>
  <c r="AK44"/>
  <c r="AR44" s="1"/>
  <c r="AM43"/>
  <c r="AO43" s="1"/>
  <c r="AK43"/>
  <c r="AR43" s="1"/>
  <c r="AM42"/>
  <c r="AO42" s="1"/>
  <c r="AK42"/>
  <c r="AR42" s="1"/>
  <c r="AM41"/>
  <c r="AO41" s="1"/>
  <c r="AK41"/>
  <c r="AR41" s="1"/>
  <c r="AM40"/>
  <c r="AO40" s="1"/>
  <c r="AK40"/>
  <c r="AM39"/>
  <c r="AO39" s="1"/>
  <c r="AK39"/>
  <c r="AM38"/>
  <c r="AO38" s="1"/>
  <c r="AK38"/>
  <c r="AR38" s="1"/>
  <c r="AM37"/>
  <c r="AO37" s="1"/>
  <c r="AK37"/>
  <c r="AR37" s="1"/>
  <c r="AM36"/>
  <c r="AO36" s="1"/>
  <c r="AK36"/>
  <c r="AR36" s="1"/>
  <c r="AM35"/>
  <c r="AO35" s="1"/>
  <c r="AK35"/>
  <c r="AR35" s="1"/>
  <c r="AM34"/>
  <c r="AO34" s="1"/>
  <c r="AK34"/>
  <c r="AR34" s="1"/>
  <c r="AS34" s="1"/>
  <c r="AG34"/>
  <c r="AE34"/>
  <c r="AC34"/>
  <c r="AA34"/>
  <c r="Y34"/>
  <c r="W34"/>
  <c r="U34"/>
  <c r="S34"/>
  <c r="Q34"/>
  <c r="O34"/>
  <c r="M34"/>
  <c r="K34"/>
  <c r="G34"/>
  <c r="C34"/>
  <c r="E40" s="1"/>
  <c r="AQ40" s="1"/>
  <c r="AM33"/>
  <c r="AO33" s="1"/>
  <c r="AK33"/>
  <c r="AR33" s="1"/>
  <c r="AM32"/>
  <c r="AO32" s="1"/>
  <c r="AK32"/>
  <c r="AM31"/>
  <c r="AO31" s="1"/>
  <c r="AK31"/>
  <c r="AR31" s="1"/>
  <c r="AM30"/>
  <c r="AO30" s="1"/>
  <c r="AK30"/>
  <c r="AR30" s="1"/>
  <c r="AM29"/>
  <c r="AO29" s="1"/>
  <c r="AK29"/>
  <c r="AR29" s="1"/>
  <c r="W29"/>
  <c r="AM28"/>
  <c r="AO28" s="1"/>
  <c r="AK28"/>
  <c r="AR28" s="1"/>
  <c r="AM27"/>
  <c r="AO27" s="1"/>
  <c r="AK27"/>
  <c r="AR27" s="1"/>
  <c r="AS27" s="1"/>
  <c r="E27"/>
  <c r="AM26"/>
  <c r="AO26" s="1"/>
  <c r="AK26"/>
  <c r="AR26" s="1"/>
  <c r="E26"/>
  <c r="G26" s="1"/>
  <c r="AM25"/>
  <c r="AO25" s="1"/>
  <c r="AK25"/>
  <c r="AR25" s="1"/>
  <c r="AS25" s="1"/>
  <c r="AE25"/>
  <c r="AC25"/>
  <c r="AA25"/>
  <c r="Y25"/>
  <c r="W25"/>
  <c r="U25"/>
  <c r="S25"/>
  <c r="Q25"/>
  <c r="O25"/>
  <c r="K25"/>
  <c r="G25"/>
  <c r="C25"/>
  <c r="E29" s="1"/>
  <c r="AC29" s="1"/>
  <c r="AM24"/>
  <c r="AO24" s="1"/>
  <c r="AK24"/>
  <c r="AR24" s="1"/>
  <c r="E24"/>
  <c r="AC24" s="1"/>
  <c r="AM23"/>
  <c r="AO23" s="1"/>
  <c r="AK23"/>
  <c r="AR23" s="1"/>
  <c r="AS23" s="1"/>
  <c r="AC23"/>
  <c r="E23"/>
  <c r="AM22"/>
  <c r="AO22" s="1"/>
  <c r="AK22"/>
  <c r="AR22" s="1"/>
  <c r="E22"/>
  <c r="Q22" s="1"/>
  <c r="AM21"/>
  <c r="AO21" s="1"/>
  <c r="AK21"/>
  <c r="AT21" s="1"/>
  <c r="M21"/>
  <c r="E21"/>
  <c r="AM20"/>
  <c r="AO20" s="1"/>
  <c r="AK20"/>
  <c r="AR20" s="1"/>
  <c r="K20"/>
  <c r="E20"/>
  <c r="AM19"/>
  <c r="AO19" s="1"/>
  <c r="AK19"/>
  <c r="AR19" s="1"/>
  <c r="E19"/>
  <c r="AM18"/>
  <c r="AO18" s="1"/>
  <c r="AK18"/>
  <c r="AR18" s="1"/>
  <c r="AS18" s="1"/>
  <c r="S18"/>
  <c r="E18"/>
  <c r="AM17"/>
  <c r="AO17" s="1"/>
  <c r="AK17"/>
  <c r="AR17" s="1"/>
  <c r="E17"/>
  <c r="W17" s="1"/>
  <c r="W16"/>
  <c r="S16"/>
  <c r="O16"/>
  <c r="M16"/>
  <c r="J16"/>
  <c r="K16" s="1"/>
  <c r="H16"/>
  <c r="I16" s="1"/>
  <c r="E16"/>
  <c r="AM15"/>
  <c r="AO15" s="1"/>
  <c r="AK15"/>
  <c r="AR15" s="1"/>
  <c r="AS15" s="1"/>
  <c r="S15"/>
  <c r="E15"/>
  <c r="I15" s="1"/>
  <c r="AM14"/>
  <c r="AO14" s="1"/>
  <c r="AK14"/>
  <c r="AR14" s="1"/>
  <c r="E14"/>
  <c r="K14" s="1"/>
  <c r="AM13"/>
  <c r="AO13" s="1"/>
  <c r="AL13"/>
  <c r="AK13"/>
  <c r="AR13" s="1"/>
  <c r="AS13" s="1"/>
  <c r="AM12"/>
  <c r="AO12" s="1"/>
  <c r="AL12"/>
  <c r="AK12"/>
  <c r="AR12" s="1"/>
  <c r="AS12" s="1"/>
  <c r="C12"/>
  <c r="AM11"/>
  <c r="AO11" s="1"/>
  <c r="AL11"/>
  <c r="AK11"/>
  <c r="AR11" s="1"/>
  <c r="AS11" s="1"/>
  <c r="AM10"/>
  <c r="AO10" s="1"/>
  <c r="AL10"/>
  <c r="AK10"/>
  <c r="AR10" s="1"/>
  <c r="AS10" s="1"/>
  <c r="AM9"/>
  <c r="AO9" s="1"/>
  <c r="AK9"/>
  <c r="AR9" s="1"/>
  <c r="E9"/>
  <c r="I9" s="1"/>
  <c r="AM8"/>
  <c r="AO8" s="1"/>
  <c r="AK8"/>
  <c r="AR8" s="1"/>
  <c r="E8"/>
  <c r="K8" s="1"/>
  <c r="Y49" l="1"/>
  <c r="Q49"/>
  <c r="W49"/>
  <c r="O49"/>
  <c r="M49"/>
  <c r="AG49"/>
  <c r="G49"/>
  <c r="AS56"/>
  <c r="AA60"/>
  <c r="Y60"/>
  <c r="W60"/>
  <c r="O60"/>
  <c r="I60"/>
  <c r="W80"/>
  <c r="Q80"/>
  <c r="O80"/>
  <c r="M80"/>
  <c r="K80"/>
  <c r="I80"/>
  <c r="AE80"/>
  <c r="Y82"/>
  <c r="S82"/>
  <c r="AA169"/>
  <c r="Y169"/>
  <c r="U169"/>
  <c r="O169"/>
  <c r="K169"/>
  <c r="Q57"/>
  <c r="O57"/>
  <c r="M57"/>
  <c r="K57"/>
  <c r="I57"/>
  <c r="AC57"/>
  <c r="O75"/>
  <c r="AG75"/>
  <c r="M75"/>
  <c r="K75"/>
  <c r="AE75"/>
  <c r="AC75"/>
  <c r="I75"/>
  <c r="AA75"/>
  <c r="G75"/>
  <c r="S75"/>
  <c r="AC80"/>
  <c r="U82"/>
  <c r="AA14"/>
  <c r="AS24"/>
  <c r="Q18"/>
  <c r="O18"/>
  <c r="K18"/>
  <c r="I18"/>
  <c r="G18"/>
  <c r="W18"/>
  <c r="AS22"/>
  <c r="Y57"/>
  <c r="Q75"/>
  <c r="AG80"/>
  <c r="AE109"/>
  <c r="AA109"/>
  <c r="S117"/>
  <c r="AA117"/>
  <c r="G117"/>
  <c r="AG56"/>
  <c r="Y56"/>
  <c r="W56"/>
  <c r="S56"/>
  <c r="I56"/>
  <c r="Q63"/>
  <c r="M63"/>
  <c r="O63"/>
  <c r="K63"/>
  <c r="I63"/>
  <c r="AC63"/>
  <c r="AL34"/>
  <c r="Y63"/>
  <c r="AC139"/>
  <c r="AA139"/>
  <c r="Y139"/>
  <c r="Q139"/>
  <c r="M139"/>
  <c r="K139"/>
  <c r="AC296"/>
  <c r="W302"/>
  <c r="D302" s="1"/>
  <c r="AL320"/>
  <c r="W15"/>
  <c r="E31"/>
  <c r="K31" s="1"/>
  <c r="W64"/>
  <c r="M66"/>
  <c r="AS77"/>
  <c r="AL96"/>
  <c r="M110"/>
  <c r="W118"/>
  <c r="M119"/>
  <c r="AS126"/>
  <c r="AC129"/>
  <c r="M131"/>
  <c r="AS134"/>
  <c r="Y136"/>
  <c r="M138"/>
  <c r="O141"/>
  <c r="M144"/>
  <c r="AS145"/>
  <c r="AE149"/>
  <c r="K153"/>
  <c r="O157"/>
  <c r="Y165"/>
  <c r="AE167"/>
  <c r="AC179"/>
  <c r="E185"/>
  <c r="AC185" s="1"/>
  <c r="E201"/>
  <c r="I201" s="1"/>
  <c r="S208"/>
  <c r="S212"/>
  <c r="U216"/>
  <c r="AL248"/>
  <c r="AC279"/>
  <c r="Y288"/>
  <c r="U288"/>
  <c r="AG289"/>
  <c r="AG296"/>
  <c r="AE302"/>
  <c r="K312"/>
  <c r="W314"/>
  <c r="D314" s="1"/>
  <c r="AL333"/>
  <c r="AS63"/>
  <c r="G136"/>
  <c r="AE136"/>
  <c r="AC141"/>
  <c r="K149"/>
  <c r="AS149"/>
  <c r="AA157"/>
  <c r="K159"/>
  <c r="G167"/>
  <c r="AS185"/>
  <c r="G188"/>
  <c r="AA208"/>
  <c r="G210"/>
  <c r="AL242"/>
  <c r="G260"/>
  <c r="AL262"/>
  <c r="AL267"/>
  <c r="I296"/>
  <c r="G302"/>
  <c r="Y312"/>
  <c r="AA314"/>
  <c r="G332"/>
  <c r="AG149"/>
  <c r="AS14"/>
  <c r="AK16"/>
  <c r="AR16" s="1"/>
  <c r="AS16" s="1"/>
  <c r="AS80"/>
  <c r="AM16"/>
  <c r="AO16" s="1"/>
  <c r="M55"/>
  <c r="G68"/>
  <c r="S69"/>
  <c r="K77"/>
  <c r="AC107"/>
  <c r="S108"/>
  <c r="O113"/>
  <c r="S119"/>
  <c r="G120"/>
  <c r="S121"/>
  <c r="G129"/>
  <c r="K136"/>
  <c r="AG136"/>
  <c r="AS141"/>
  <c r="AA144"/>
  <c r="M149"/>
  <c r="Y153"/>
  <c r="AE157"/>
  <c r="M167"/>
  <c r="U205"/>
  <c r="G208"/>
  <c r="AC208"/>
  <c r="Q210"/>
  <c r="AS212"/>
  <c r="S214"/>
  <c r="M296"/>
  <c r="M302"/>
  <c r="AA312"/>
  <c r="AS314"/>
  <c r="U332"/>
  <c r="AL246"/>
  <c r="M136"/>
  <c r="AS136"/>
  <c r="O149"/>
  <c r="AS157"/>
  <c r="AS159"/>
  <c r="O167"/>
  <c r="AS169"/>
  <c r="K208"/>
  <c r="AE208"/>
  <c r="U210"/>
  <c r="AE214"/>
  <c r="E224"/>
  <c r="AQ281"/>
  <c r="U281"/>
  <c r="O296"/>
  <c r="D296" s="1"/>
  <c r="W297"/>
  <c r="D297" s="1"/>
  <c r="Q302"/>
  <c r="AL309"/>
  <c r="AS312"/>
  <c r="AL324"/>
  <c r="AL325"/>
  <c r="W332"/>
  <c r="O15"/>
  <c r="S17"/>
  <c r="AA55"/>
  <c r="O64"/>
  <c r="AC68"/>
  <c r="U77"/>
  <c r="AS81"/>
  <c r="S113"/>
  <c r="AC119"/>
  <c r="O129"/>
  <c r="Q134"/>
  <c r="O136"/>
  <c r="I141"/>
  <c r="Q149"/>
  <c r="AS150"/>
  <c r="G157"/>
  <c r="M162"/>
  <c r="U167"/>
  <c r="AL180"/>
  <c r="AL194"/>
  <c r="M208"/>
  <c r="AG208"/>
  <c r="AG214"/>
  <c r="AL251"/>
  <c r="S296"/>
  <c r="S302"/>
  <c r="AS332"/>
  <c r="Q15"/>
  <c r="AL45"/>
  <c r="AS58"/>
  <c r="AG68"/>
  <c r="AS69"/>
  <c r="AS75"/>
  <c r="G119"/>
  <c r="AL124"/>
  <c r="AL135"/>
  <c r="K141"/>
  <c r="S149"/>
  <c r="K157"/>
  <c r="W162"/>
  <c r="Q179"/>
  <c r="AL204"/>
  <c r="AS208"/>
  <c r="AS210"/>
  <c r="AA260"/>
  <c r="S285"/>
  <c r="D285" s="1"/>
  <c r="AG285"/>
  <c r="Y296"/>
  <c r="G314"/>
  <c r="AU46"/>
  <c r="AQ46"/>
  <c r="M46"/>
  <c r="U46"/>
  <c r="AG132"/>
  <c r="AU132"/>
  <c r="AQ132"/>
  <c r="W132"/>
  <c r="Q132"/>
  <c r="Y151"/>
  <c r="AU151"/>
  <c r="AQ151"/>
  <c r="AA151"/>
  <c r="S151"/>
  <c r="AE151"/>
  <c r="K151"/>
  <c r="AG151"/>
  <c r="AC151"/>
  <c r="U151"/>
  <c r="Q151"/>
  <c r="O151"/>
  <c r="M151"/>
  <c r="AH148"/>
  <c r="O17"/>
  <c r="AU17"/>
  <c r="AQ17"/>
  <c r="Q17"/>
  <c r="M17"/>
  <c r="I17"/>
  <c r="K17"/>
  <c r="G17"/>
  <c r="K19"/>
  <c r="AU19"/>
  <c r="AQ19"/>
  <c r="W19"/>
  <c r="O19"/>
  <c r="S19"/>
  <c r="I19"/>
  <c r="S21"/>
  <c r="AS21"/>
  <c r="AQ21"/>
  <c r="U21"/>
  <c r="Q21"/>
  <c r="E99"/>
  <c r="E103"/>
  <c r="AS103" s="1"/>
  <c r="E98"/>
  <c r="AS98" s="1"/>
  <c r="E102"/>
  <c r="W102" s="1"/>
  <c r="E100"/>
  <c r="S132"/>
  <c r="AS151"/>
  <c r="Y154"/>
  <c r="AQ154"/>
  <c r="AA154"/>
  <c r="U154"/>
  <c r="K154"/>
  <c r="AT100"/>
  <c r="AU100" s="1"/>
  <c r="AR100"/>
  <c r="AU31"/>
  <c r="AQ31"/>
  <c r="AA31"/>
  <c r="S31"/>
  <c r="Y31"/>
  <c r="AL83"/>
  <c r="Y101"/>
  <c r="AQ101"/>
  <c r="W101"/>
  <c r="M101"/>
  <c r="K101"/>
  <c r="G101"/>
  <c r="AC101"/>
  <c r="AA101"/>
  <c r="U305"/>
  <c r="AQ305"/>
  <c r="M305"/>
  <c r="K305"/>
  <c r="I305"/>
  <c r="AC305"/>
  <c r="G305"/>
  <c r="AA306"/>
  <c r="D306" s="1"/>
  <c r="W305"/>
  <c r="D305" s="1"/>
  <c r="AA305"/>
  <c r="Y305"/>
  <c r="S305"/>
  <c r="W9"/>
  <c r="AU9"/>
  <c r="AQ9"/>
  <c r="S9"/>
  <c r="Q9"/>
  <c r="O9"/>
  <c r="M9"/>
  <c r="G9"/>
  <c r="AA9"/>
  <c r="AQ130"/>
  <c r="AG130"/>
  <c r="AE9"/>
  <c r="W14"/>
  <c r="AU14"/>
  <c r="AQ14"/>
  <c r="S14"/>
  <c r="Q14"/>
  <c r="O14"/>
  <c r="M14"/>
  <c r="AE17"/>
  <c r="Q20"/>
  <c r="AU20"/>
  <c r="AQ20"/>
  <c r="W20"/>
  <c r="S20"/>
  <c r="O20"/>
  <c r="AU27"/>
  <c r="AQ27"/>
  <c r="AR57"/>
  <c r="AS57" s="1"/>
  <c r="AT57"/>
  <c r="AU57" s="1"/>
  <c r="AS125"/>
  <c r="K9"/>
  <c r="AA8"/>
  <c r="AU8"/>
  <c r="AQ8"/>
  <c r="O8"/>
  <c r="AU61"/>
  <c r="AQ61"/>
  <c r="AE61"/>
  <c r="AC61"/>
  <c r="U61"/>
  <c r="K61"/>
  <c r="AS9"/>
  <c r="AS17"/>
  <c r="AE48"/>
  <c r="AU48"/>
  <c r="AQ48"/>
  <c r="Y48"/>
  <c r="S48"/>
  <c r="Q48"/>
  <c r="G48"/>
  <c r="K48"/>
  <c r="AG48"/>
  <c r="I48"/>
  <c r="Y111"/>
  <c r="AU111"/>
  <c r="AQ111"/>
  <c r="Q111"/>
  <c r="O111"/>
  <c r="AG111"/>
  <c r="M111"/>
  <c r="AE111"/>
  <c r="K111"/>
  <c r="S111"/>
  <c r="AH104"/>
  <c r="AC111"/>
  <c r="AA111"/>
  <c r="Y122"/>
  <c r="AU122"/>
  <c r="AQ122"/>
  <c r="AG122"/>
  <c r="S122"/>
  <c r="Q122"/>
  <c r="G122"/>
  <c r="AU73"/>
  <c r="AQ73"/>
  <c r="AE73"/>
  <c r="S73"/>
  <c r="M125"/>
  <c r="AU125"/>
  <c r="AQ125"/>
  <c r="AA125"/>
  <c r="W125"/>
  <c r="U125"/>
  <c r="O125"/>
  <c r="AE125"/>
  <c r="AC125"/>
  <c r="K125"/>
  <c r="I125"/>
  <c r="G125"/>
  <c r="AU71"/>
  <c r="AQ71"/>
  <c r="AG71"/>
  <c r="AR78"/>
  <c r="AS78" s="1"/>
  <c r="AT78"/>
  <c r="AU78" s="1"/>
  <c r="AR119"/>
  <c r="AS119" s="1"/>
  <c r="AT119"/>
  <c r="AU119" s="1"/>
  <c r="AU142"/>
  <c r="AQ142"/>
  <c r="AG142"/>
  <c r="Q142"/>
  <c r="U142"/>
  <c r="O142"/>
  <c r="AU26"/>
  <c r="AQ26"/>
  <c r="AE26"/>
  <c r="Y26"/>
  <c r="U26"/>
  <c r="K26"/>
  <c r="AU158"/>
  <c r="AQ158"/>
  <c r="U160"/>
  <c r="AU160"/>
  <c r="AQ160"/>
  <c r="AC160"/>
  <c r="K160"/>
  <c r="AA160"/>
  <c r="I160"/>
  <c r="Y160"/>
  <c r="G160"/>
  <c r="AG160"/>
  <c r="O160"/>
  <c r="AE160"/>
  <c r="W160"/>
  <c r="S160"/>
  <c r="Q160"/>
  <c r="M160"/>
  <c r="Q24"/>
  <c r="AU24"/>
  <c r="AQ24"/>
  <c r="AT32"/>
  <c r="AR32"/>
  <c r="AR65"/>
  <c r="AS65" s="1"/>
  <c r="AT65"/>
  <c r="AU65" s="1"/>
  <c r="AU67"/>
  <c r="AQ67"/>
  <c r="AG67"/>
  <c r="W123"/>
  <c r="AU123"/>
  <c r="AQ123"/>
  <c r="Q123"/>
  <c r="O123"/>
  <c r="AG123"/>
  <c r="M123"/>
  <c r="AE123"/>
  <c r="K123"/>
  <c r="AS160"/>
  <c r="Q23"/>
  <c r="AU23"/>
  <c r="AQ23"/>
  <c r="I23"/>
  <c r="AS48"/>
  <c r="AU50"/>
  <c r="AQ50"/>
  <c r="AE50"/>
  <c r="U50"/>
  <c r="I51"/>
  <c r="K52"/>
  <c r="Q67"/>
  <c r="M68"/>
  <c r="W79"/>
  <c r="AU79"/>
  <c r="AQ79"/>
  <c r="S79"/>
  <c r="Q79"/>
  <c r="K79"/>
  <c r="I79"/>
  <c r="Y93"/>
  <c r="AU93"/>
  <c r="AQ93"/>
  <c r="W93"/>
  <c r="M93"/>
  <c r="K93"/>
  <c r="G93"/>
  <c r="AS99"/>
  <c r="AE105"/>
  <c r="AU105"/>
  <c r="AQ105"/>
  <c r="S105"/>
  <c r="Q105"/>
  <c r="M105"/>
  <c r="K105"/>
  <c r="Y107"/>
  <c r="AU107"/>
  <c r="AQ107"/>
  <c r="U107"/>
  <c r="S107"/>
  <c r="Q107"/>
  <c r="O107"/>
  <c r="G123"/>
  <c r="AG128"/>
  <c r="AU128"/>
  <c r="AQ128"/>
  <c r="AR130"/>
  <c r="AS130" s="1"/>
  <c r="AT130"/>
  <c r="AU130" s="1"/>
  <c r="AU143"/>
  <c r="AQ143"/>
  <c r="U143"/>
  <c r="U145"/>
  <c r="AU145"/>
  <c r="AQ145"/>
  <c r="Y145"/>
  <c r="G145"/>
  <c r="S145"/>
  <c r="AC145"/>
  <c r="K145"/>
  <c r="AE145"/>
  <c r="AA145"/>
  <c r="W145"/>
  <c r="Q145"/>
  <c r="O145"/>
  <c r="AE191"/>
  <c r="AU191"/>
  <c r="AQ191"/>
  <c r="AL319"/>
  <c r="AS8"/>
  <c r="O23"/>
  <c r="AS46"/>
  <c r="M50"/>
  <c r="O52"/>
  <c r="U66"/>
  <c r="AU66"/>
  <c r="AQ66"/>
  <c r="S66"/>
  <c r="AG66"/>
  <c r="O66"/>
  <c r="AA66"/>
  <c r="S67"/>
  <c r="O68"/>
  <c r="AL72"/>
  <c r="AS73"/>
  <c r="G79"/>
  <c r="AU85"/>
  <c r="AQ85"/>
  <c r="AA93"/>
  <c r="AT101"/>
  <c r="AU101" s="1"/>
  <c r="AR101"/>
  <c r="AS101" s="1"/>
  <c r="AA105"/>
  <c r="K107"/>
  <c r="Y109"/>
  <c r="AQ109"/>
  <c r="S109"/>
  <c r="Q109"/>
  <c r="O109"/>
  <c r="AG109"/>
  <c r="M109"/>
  <c r="AR110"/>
  <c r="AS110" s="1"/>
  <c r="AT110"/>
  <c r="AU110" s="1"/>
  <c r="S123"/>
  <c r="AU127"/>
  <c r="AQ127"/>
  <c r="AE127"/>
  <c r="AA127"/>
  <c r="W128"/>
  <c r="AT137"/>
  <c r="AU137" s="1"/>
  <c r="AR137"/>
  <c r="AS137" s="1"/>
  <c r="I143"/>
  <c r="I145"/>
  <c r="U161"/>
  <c r="AU161"/>
  <c r="AQ161"/>
  <c r="S161"/>
  <c r="Q161"/>
  <c r="G161"/>
  <c r="AG161"/>
  <c r="W161"/>
  <c r="W191"/>
  <c r="AQ310"/>
  <c r="AA310"/>
  <c r="K310"/>
  <c r="M29"/>
  <c r="AU29"/>
  <c r="AQ29"/>
  <c r="I24"/>
  <c r="E28"/>
  <c r="Q16"/>
  <c r="AU16"/>
  <c r="AQ16"/>
  <c r="AS20"/>
  <c r="S23"/>
  <c r="U24"/>
  <c r="E30"/>
  <c r="E33"/>
  <c r="O33" s="1"/>
  <c r="O50"/>
  <c r="AS51"/>
  <c r="S52"/>
  <c r="Y55"/>
  <c r="AU55"/>
  <c r="AQ55"/>
  <c r="AC55"/>
  <c r="S55"/>
  <c r="AG60"/>
  <c r="AU60"/>
  <c r="AQ60"/>
  <c r="Q60"/>
  <c r="M60"/>
  <c r="AC60"/>
  <c r="G66"/>
  <c r="AC66"/>
  <c r="AA67"/>
  <c r="S68"/>
  <c r="U79"/>
  <c r="AS85"/>
  <c r="AC93"/>
  <c r="AC105"/>
  <c r="M107"/>
  <c r="K109"/>
  <c r="AT120"/>
  <c r="AU120" s="1"/>
  <c r="AR120"/>
  <c r="AS120" s="1"/>
  <c r="Y123"/>
  <c r="G127"/>
  <c r="AS128"/>
  <c r="Y143"/>
  <c r="M145"/>
  <c r="U310"/>
  <c r="AS29"/>
  <c r="AU51"/>
  <c r="AQ51"/>
  <c r="AA51"/>
  <c r="AU15"/>
  <c r="AQ15"/>
  <c r="AU21"/>
  <c r="M24"/>
  <c r="K15"/>
  <c r="AA16"/>
  <c r="M15"/>
  <c r="G16"/>
  <c r="AL16" s="1"/>
  <c r="AE16"/>
  <c r="M18"/>
  <c r="AU18"/>
  <c r="AQ18"/>
  <c r="AE18"/>
  <c r="AS19"/>
  <c r="S22"/>
  <c r="AU22"/>
  <c r="AQ22"/>
  <c r="U23"/>
  <c r="W24"/>
  <c r="AS26"/>
  <c r="AS30"/>
  <c r="Y47"/>
  <c r="AU47"/>
  <c r="AQ47"/>
  <c r="AS47"/>
  <c r="U49"/>
  <c r="AL49" s="1"/>
  <c r="AU49"/>
  <c r="AQ49"/>
  <c r="AC49"/>
  <c r="S50"/>
  <c r="AU53"/>
  <c r="AQ53"/>
  <c r="K55"/>
  <c r="AE56"/>
  <c r="AU56"/>
  <c r="AQ56"/>
  <c r="Q56"/>
  <c r="G56"/>
  <c r="U57"/>
  <c r="AQ57"/>
  <c r="AA57"/>
  <c r="G57"/>
  <c r="W57"/>
  <c r="AE57"/>
  <c r="AL59"/>
  <c r="G60"/>
  <c r="AE60"/>
  <c r="U63"/>
  <c r="AU63"/>
  <c r="AQ63"/>
  <c r="AA63"/>
  <c r="G63"/>
  <c r="W63"/>
  <c r="AE63"/>
  <c r="I66"/>
  <c r="AE66"/>
  <c r="AS67"/>
  <c r="AU76"/>
  <c r="AQ76"/>
  <c r="W76"/>
  <c r="U76"/>
  <c r="S76"/>
  <c r="AA79"/>
  <c r="E95"/>
  <c r="E92"/>
  <c r="AS92" s="1"/>
  <c r="E89"/>
  <c r="AS89" s="1"/>
  <c r="E87"/>
  <c r="E94"/>
  <c r="G94" s="1"/>
  <c r="E90"/>
  <c r="AS90" s="1"/>
  <c r="E86"/>
  <c r="E84"/>
  <c r="AS93"/>
  <c r="AG105"/>
  <c r="AA107"/>
  <c r="U109"/>
  <c r="W112"/>
  <c r="AU112"/>
  <c r="AQ112"/>
  <c r="AA112"/>
  <c r="Y112"/>
  <c r="U112"/>
  <c r="S112"/>
  <c r="AL114"/>
  <c r="U115"/>
  <c r="AU115"/>
  <c r="AQ115"/>
  <c r="AE115"/>
  <c r="M115"/>
  <c r="AC115"/>
  <c r="K115"/>
  <c r="AA115"/>
  <c r="I115"/>
  <c r="Y115"/>
  <c r="G115"/>
  <c r="U117"/>
  <c r="AU117"/>
  <c r="AQ117"/>
  <c r="AA123"/>
  <c r="K127"/>
  <c r="AG145"/>
  <c r="U201"/>
  <c r="AQ201"/>
  <c r="AG201"/>
  <c r="Y201"/>
  <c r="W201"/>
  <c r="G201"/>
  <c r="Q201"/>
  <c r="AC282"/>
  <c r="AQ282"/>
  <c r="AG282"/>
  <c r="W282"/>
  <c r="U282"/>
  <c r="S282"/>
  <c r="AE284"/>
  <c r="D284" s="1"/>
  <c r="M282"/>
  <c r="Y310"/>
  <c r="W218"/>
  <c r="AU218"/>
  <c r="AQ218"/>
  <c r="AE218"/>
  <c r="K218"/>
  <c r="AT229"/>
  <c r="AU229" s="1"/>
  <c r="AR229"/>
  <c r="AS229" s="1"/>
  <c r="AL240"/>
  <c r="AT293"/>
  <c r="AU293" s="1"/>
  <c r="AR293"/>
  <c r="AS293" s="1"/>
  <c r="U52"/>
  <c r="AU52"/>
  <c r="AQ52"/>
  <c r="Q52"/>
  <c r="AE52"/>
  <c r="M52"/>
  <c r="AA52"/>
  <c r="W68"/>
  <c r="AU68"/>
  <c r="AQ68"/>
  <c r="Y68"/>
  <c r="Q68"/>
  <c r="AE68"/>
  <c r="AS71"/>
  <c r="AU82"/>
  <c r="AQ82"/>
  <c r="AA82"/>
  <c r="AS122"/>
  <c r="AU140"/>
  <c r="AQ140"/>
  <c r="Y140"/>
  <c r="U140"/>
  <c r="AR163"/>
  <c r="AS163" s="1"/>
  <c r="AT163"/>
  <c r="AU163" s="1"/>
  <c r="AU222"/>
  <c r="AQ222"/>
  <c r="AA222"/>
  <c r="AS86"/>
  <c r="AR91"/>
  <c r="AT91"/>
  <c r="AT94"/>
  <c r="AR94"/>
  <c r="AS107"/>
  <c r="Y108"/>
  <c r="Y113"/>
  <c r="AU113"/>
  <c r="AQ113"/>
  <c r="AA113"/>
  <c r="S116"/>
  <c r="AU116"/>
  <c r="AQ116"/>
  <c r="AG116"/>
  <c r="AS117"/>
  <c r="W121"/>
  <c r="AU121"/>
  <c r="AQ121"/>
  <c r="AA121"/>
  <c r="AS132"/>
  <c r="AG146"/>
  <c r="AU146"/>
  <c r="AQ146"/>
  <c r="U146"/>
  <c r="W206"/>
  <c r="AU206"/>
  <c r="AQ206"/>
  <c r="U206"/>
  <c r="S206"/>
  <c r="Q206"/>
  <c r="AG206"/>
  <c r="O206"/>
  <c r="AA206"/>
  <c r="G206"/>
  <c r="AL297"/>
  <c r="AC54"/>
  <c r="AU54"/>
  <c r="AQ54"/>
  <c r="AU58"/>
  <c r="AQ58"/>
  <c r="AS60"/>
  <c r="AS61"/>
  <c r="AU64"/>
  <c r="AQ64"/>
  <c r="W70"/>
  <c r="AU70"/>
  <c r="AQ70"/>
  <c r="AA70"/>
  <c r="AU74"/>
  <c r="AQ74"/>
  <c r="AU77"/>
  <c r="AQ77"/>
  <c r="AU81"/>
  <c r="AQ81"/>
  <c r="AS82"/>
  <c r="AL104"/>
  <c r="W106"/>
  <c r="AU106"/>
  <c r="AQ106"/>
  <c r="AC106"/>
  <c r="AT109"/>
  <c r="AU109" s="1"/>
  <c r="AR109"/>
  <c r="AS109" s="1"/>
  <c r="G113"/>
  <c r="AC113"/>
  <c r="G116"/>
  <c r="AS116"/>
  <c r="Y120"/>
  <c r="AQ120"/>
  <c r="G121"/>
  <c r="AC121"/>
  <c r="AU126"/>
  <c r="AQ126"/>
  <c r="W129"/>
  <c r="AQ129"/>
  <c r="AE129"/>
  <c r="W131"/>
  <c r="AU131"/>
  <c r="AQ131"/>
  <c r="AC131"/>
  <c r="AE131"/>
  <c r="AS146"/>
  <c r="AS161"/>
  <c r="AA163"/>
  <c r="AQ163"/>
  <c r="AC163"/>
  <c r="Y163"/>
  <c r="S163"/>
  <c r="Q163"/>
  <c r="AG163"/>
  <c r="I163"/>
  <c r="W178"/>
  <c r="AU178"/>
  <c r="AQ178"/>
  <c r="U178"/>
  <c r="O178"/>
  <c r="M178"/>
  <c r="K178"/>
  <c r="AA178"/>
  <c r="AE195"/>
  <c r="AU195"/>
  <c r="AQ195"/>
  <c r="AG195"/>
  <c r="AC195"/>
  <c r="U195"/>
  <c r="M195"/>
  <c r="K206"/>
  <c r="AE207"/>
  <c r="AU207"/>
  <c r="AQ207"/>
  <c r="AG207"/>
  <c r="AC207"/>
  <c r="U207"/>
  <c r="M207"/>
  <c r="AR215"/>
  <c r="AS215" s="1"/>
  <c r="AT215"/>
  <c r="AU215" s="1"/>
  <c r="U217"/>
  <c r="AU217"/>
  <c r="AQ217"/>
  <c r="AC217"/>
  <c r="S217"/>
  <c r="AA224"/>
  <c r="AU224"/>
  <c r="AQ224"/>
  <c r="AG224"/>
  <c r="Q224"/>
  <c r="AR235"/>
  <c r="AS235" s="1"/>
  <c r="AT235"/>
  <c r="AU235" s="1"/>
  <c r="AL261"/>
  <c r="AL264"/>
  <c r="AL274"/>
  <c r="AT282"/>
  <c r="AU282" s="1"/>
  <c r="AR282"/>
  <c r="AS282" s="1"/>
  <c r="AL292"/>
  <c r="W298"/>
  <c r="AU298"/>
  <c r="AQ298"/>
  <c r="O298"/>
  <c r="W317"/>
  <c r="AQ317"/>
  <c r="U317"/>
  <c r="S317"/>
  <c r="AE319"/>
  <c r="D319" s="1"/>
  <c r="Q317"/>
  <c r="AG317"/>
  <c r="O317"/>
  <c r="AA317"/>
  <c r="G317"/>
  <c r="U80"/>
  <c r="AU80"/>
  <c r="AQ80"/>
  <c r="Y80"/>
  <c r="W108"/>
  <c r="AU108"/>
  <c r="AQ108"/>
  <c r="AC108"/>
  <c r="AS111"/>
  <c r="K113"/>
  <c r="AE113"/>
  <c r="K116"/>
  <c r="AU118"/>
  <c r="AQ118"/>
  <c r="K121"/>
  <c r="AE121"/>
  <c r="AS123"/>
  <c r="AS127"/>
  <c r="AT129"/>
  <c r="AU129" s="1"/>
  <c r="AR129"/>
  <c r="AS129" s="1"/>
  <c r="W133"/>
  <c r="AU133"/>
  <c r="AQ133"/>
  <c r="U133"/>
  <c r="AE133"/>
  <c r="W139"/>
  <c r="AU139"/>
  <c r="AQ139"/>
  <c r="S139"/>
  <c r="O139"/>
  <c r="AE139"/>
  <c r="AS140"/>
  <c r="AS142"/>
  <c r="M206"/>
  <c r="AL258"/>
  <c r="U269"/>
  <c r="AU269"/>
  <c r="AQ269"/>
  <c r="W275"/>
  <c r="AQ275"/>
  <c r="S275"/>
  <c r="W290"/>
  <c r="D290" s="1"/>
  <c r="AQ288"/>
  <c r="S288"/>
  <c r="Q288"/>
  <c r="O288"/>
  <c r="AG288"/>
  <c r="M288"/>
  <c r="AA288"/>
  <c r="AQ293"/>
  <c r="U293"/>
  <c r="S293"/>
  <c r="K293"/>
  <c r="G293"/>
  <c r="Y293"/>
  <c r="AU318"/>
  <c r="AQ318"/>
  <c r="AG318"/>
  <c r="W318"/>
  <c r="U318"/>
  <c r="S318"/>
  <c r="G318"/>
  <c r="AS49"/>
  <c r="AS52"/>
  <c r="AS54"/>
  <c r="S58"/>
  <c r="Y62"/>
  <c r="AU62"/>
  <c r="AQ62"/>
  <c r="Q64"/>
  <c r="AU69"/>
  <c r="AQ69"/>
  <c r="K70"/>
  <c r="AE70"/>
  <c r="I74"/>
  <c r="U75"/>
  <c r="AU75"/>
  <c r="AQ75"/>
  <c r="W75"/>
  <c r="M77"/>
  <c r="AA78"/>
  <c r="AQ78"/>
  <c r="AG78"/>
  <c r="G80"/>
  <c r="AA80"/>
  <c r="AS84"/>
  <c r="K106"/>
  <c r="G108"/>
  <c r="AS108"/>
  <c r="W110"/>
  <c r="AQ110"/>
  <c r="AC110"/>
  <c r="M113"/>
  <c r="AG113"/>
  <c r="O116"/>
  <c r="O118"/>
  <c r="U119"/>
  <c r="AQ119"/>
  <c r="AA119"/>
  <c r="Q120"/>
  <c r="M121"/>
  <c r="AG121"/>
  <c r="K129"/>
  <c r="K131"/>
  <c r="G133"/>
  <c r="AS133"/>
  <c r="I139"/>
  <c r="AG139"/>
  <c r="U144"/>
  <c r="AU144"/>
  <c r="AQ144"/>
  <c r="S144"/>
  <c r="K144"/>
  <c r="AS144"/>
  <c r="Y147"/>
  <c r="AU147"/>
  <c r="AQ147"/>
  <c r="AC150"/>
  <c r="AU150"/>
  <c r="AQ150"/>
  <c r="M150"/>
  <c r="W153"/>
  <c r="AU153"/>
  <c r="AQ153"/>
  <c r="Q153"/>
  <c r="AE153"/>
  <c r="M153"/>
  <c r="U153"/>
  <c r="AG153"/>
  <c r="W155"/>
  <c r="AQ155"/>
  <c r="U155"/>
  <c r="S155"/>
  <c r="Q155"/>
  <c r="AA155"/>
  <c r="G155"/>
  <c r="O163"/>
  <c r="AU168"/>
  <c r="AQ168"/>
  <c r="Y178"/>
  <c r="S195"/>
  <c r="Y206"/>
  <c r="S207"/>
  <c r="AT228"/>
  <c r="AU228" s="1"/>
  <c r="AR228"/>
  <c r="AS228" s="1"/>
  <c r="K288"/>
  <c r="D288" s="1"/>
  <c r="W293"/>
  <c r="M317"/>
  <c r="O318"/>
  <c r="AL329"/>
  <c r="AU185"/>
  <c r="AQ185"/>
  <c r="U185"/>
  <c r="AA211"/>
  <c r="AU211"/>
  <c r="AQ211"/>
  <c r="S211"/>
  <c r="Q211"/>
  <c r="O211"/>
  <c r="M211"/>
  <c r="AC211"/>
  <c r="Y317"/>
  <c r="Q318"/>
  <c r="AU166"/>
  <c r="AQ166"/>
  <c r="M169"/>
  <c r="M176"/>
  <c r="AE177"/>
  <c r="AU177"/>
  <c r="AQ177"/>
  <c r="E184"/>
  <c r="E187"/>
  <c r="AS196"/>
  <c r="W208"/>
  <c r="AU208"/>
  <c r="AQ208"/>
  <c r="Y208"/>
  <c r="AL209"/>
  <c r="W210"/>
  <c r="AU210"/>
  <c r="AQ210"/>
  <c r="AS213"/>
  <c r="AL220"/>
  <c r="AI226"/>
  <c r="AJ226" s="1"/>
  <c r="AL232"/>
  <c r="AL235"/>
  <c r="AL247"/>
  <c r="AL252"/>
  <c r="AL253"/>
  <c r="AL265"/>
  <c r="C348"/>
  <c r="AU266"/>
  <c r="AQ266"/>
  <c r="K279"/>
  <c r="AE279"/>
  <c r="AL299"/>
  <c r="AL301"/>
  <c r="AU302"/>
  <c r="AQ302"/>
  <c r="AG302"/>
  <c r="AL304"/>
  <c r="AL322"/>
  <c r="S332"/>
  <c r="U162"/>
  <c r="AU162"/>
  <c r="AQ162"/>
  <c r="AA162"/>
  <c r="W165"/>
  <c r="AU165"/>
  <c r="AQ165"/>
  <c r="AC165"/>
  <c r="AS168"/>
  <c r="AS191"/>
  <c r="AS211"/>
  <c r="AC214"/>
  <c r="AU214"/>
  <c r="AQ214"/>
  <c r="AS214"/>
  <c r="AC216"/>
  <c r="AQ216"/>
  <c r="AA216"/>
  <c r="AL229"/>
  <c r="AL243"/>
  <c r="AL255"/>
  <c r="AL268"/>
  <c r="AS269"/>
  <c r="AL270"/>
  <c r="AL271"/>
  <c r="AL272"/>
  <c r="AL273"/>
  <c r="Q279"/>
  <c r="AL283"/>
  <c r="AT289"/>
  <c r="AU289" s="1"/>
  <c r="AR289"/>
  <c r="AS289" s="1"/>
  <c r="AL294"/>
  <c r="AL295"/>
  <c r="W296"/>
  <c r="AU296"/>
  <c r="AQ296"/>
  <c r="AA296"/>
  <c r="U136"/>
  <c r="AU136"/>
  <c r="AQ136"/>
  <c r="W136"/>
  <c r="U137"/>
  <c r="AQ137"/>
  <c r="U138"/>
  <c r="AQ138"/>
  <c r="AA138"/>
  <c r="AS139"/>
  <c r="AU152"/>
  <c r="AQ152"/>
  <c r="AR155"/>
  <c r="AS155" s="1"/>
  <c r="AT155"/>
  <c r="AU155" s="1"/>
  <c r="AS158"/>
  <c r="G162"/>
  <c r="AC162"/>
  <c r="AL164"/>
  <c r="G165"/>
  <c r="AE165"/>
  <c r="W167"/>
  <c r="AU167"/>
  <c r="AQ167"/>
  <c r="AC167"/>
  <c r="AS179"/>
  <c r="AS188"/>
  <c r="AL190"/>
  <c r="AT200"/>
  <c r="AR200"/>
  <c r="E203"/>
  <c r="AS203" s="1"/>
  <c r="AS206"/>
  <c r="K214"/>
  <c r="G216"/>
  <c r="AE216"/>
  <c r="AS218"/>
  <c r="AL226"/>
  <c r="AL239"/>
  <c r="AT240"/>
  <c r="AU240" s="1"/>
  <c r="AR240"/>
  <c r="AS240" s="1"/>
  <c r="AR275"/>
  <c r="AS275" s="1"/>
  <c r="AT275"/>
  <c r="AU275" s="1"/>
  <c r="AL287"/>
  <c r="AT288"/>
  <c r="AU288" s="1"/>
  <c r="AR288"/>
  <c r="AS288" s="1"/>
  <c r="AS298"/>
  <c r="AU300"/>
  <c r="AQ300"/>
  <c r="AT310"/>
  <c r="AU310" s="1"/>
  <c r="AR310"/>
  <c r="AS310" s="1"/>
  <c r="AL313"/>
  <c r="AT317"/>
  <c r="AU317" s="1"/>
  <c r="AR317"/>
  <c r="AS317" s="1"/>
  <c r="AL326"/>
  <c r="AL328"/>
  <c r="AU330"/>
  <c r="AQ330"/>
  <c r="AT154"/>
  <c r="AU154" s="1"/>
  <c r="AR154"/>
  <c r="AS154" s="1"/>
  <c r="I162"/>
  <c r="AS162"/>
  <c r="K165"/>
  <c r="AS165"/>
  <c r="W169"/>
  <c r="AU169"/>
  <c r="AQ169"/>
  <c r="AC169"/>
  <c r="AL175"/>
  <c r="W176"/>
  <c r="AU176"/>
  <c r="AQ176"/>
  <c r="AS176"/>
  <c r="AE179"/>
  <c r="AU179"/>
  <c r="AQ179"/>
  <c r="AS184"/>
  <c r="AL193"/>
  <c r="AU196"/>
  <c r="AQ196"/>
  <c r="E199"/>
  <c r="AS199" s="1"/>
  <c r="AS205"/>
  <c r="AG210"/>
  <c r="O214"/>
  <c r="Y215"/>
  <c r="AQ215"/>
  <c r="K216"/>
  <c r="AG216"/>
  <c r="AS217"/>
  <c r="AS224"/>
  <c r="AT234"/>
  <c r="AU234" s="1"/>
  <c r="AR234"/>
  <c r="AS234" s="1"/>
  <c r="AL237"/>
  <c r="AL244"/>
  <c r="AL245"/>
  <c r="AT246"/>
  <c r="AU246" s="1"/>
  <c r="AR246"/>
  <c r="AS246" s="1"/>
  <c r="AL250"/>
  <c r="AR252"/>
  <c r="AS252" s="1"/>
  <c r="AT252"/>
  <c r="AU252" s="1"/>
  <c r="AL256"/>
  <c r="AG260"/>
  <c r="AU260"/>
  <c r="AQ260"/>
  <c r="AL284"/>
  <c r="AL291"/>
  <c r="K296"/>
  <c r="AE296"/>
  <c r="AS300"/>
  <c r="AL306"/>
  <c r="AL311"/>
  <c r="AU312"/>
  <c r="AQ312"/>
  <c r="AU314"/>
  <c r="AQ314"/>
  <c r="AS330"/>
  <c r="AU134"/>
  <c r="AQ134"/>
  <c r="I136"/>
  <c r="AL136" s="1"/>
  <c r="AA136"/>
  <c r="Q137"/>
  <c r="I138"/>
  <c r="AT138"/>
  <c r="AU138" s="1"/>
  <c r="AR138"/>
  <c r="AS138" s="1"/>
  <c r="W141"/>
  <c r="AU141"/>
  <c r="AQ141"/>
  <c r="AE141"/>
  <c r="AS143"/>
  <c r="AL148"/>
  <c r="Y149"/>
  <c r="AU149"/>
  <c r="AQ149"/>
  <c r="AC149"/>
  <c r="AA152"/>
  <c r="AS153"/>
  <c r="W157"/>
  <c r="AU157"/>
  <c r="AQ157"/>
  <c r="AC157"/>
  <c r="Y159"/>
  <c r="AU159"/>
  <c r="AQ159"/>
  <c r="K162"/>
  <c r="M165"/>
  <c r="K167"/>
  <c r="AS167"/>
  <c r="G169"/>
  <c r="AE169"/>
  <c r="G176"/>
  <c r="AG177"/>
  <c r="M179"/>
  <c r="AE188"/>
  <c r="AU188"/>
  <c r="AQ188"/>
  <c r="AL181"/>
  <c r="AL182"/>
  <c r="E189"/>
  <c r="AS195"/>
  <c r="E198"/>
  <c r="AS198" s="1"/>
  <c r="AT201"/>
  <c r="AU201" s="1"/>
  <c r="AR201"/>
  <c r="AS201" s="1"/>
  <c r="AE205"/>
  <c r="AU205"/>
  <c r="AQ205"/>
  <c r="AS207"/>
  <c r="U212"/>
  <c r="AU212"/>
  <c r="AQ212"/>
  <c r="AC213"/>
  <c r="AU213"/>
  <c r="AQ213"/>
  <c r="Q214"/>
  <c r="O216"/>
  <c r="AT216"/>
  <c r="AU216" s="1"/>
  <c r="AR216"/>
  <c r="AS216" s="1"/>
  <c r="AE219"/>
  <c r="AU219"/>
  <c r="AQ219"/>
  <c r="AS222"/>
  <c r="AL228"/>
  <c r="AL231"/>
  <c r="AL233"/>
  <c r="AL234"/>
  <c r="AL238"/>
  <c r="AT241"/>
  <c r="AU241" s="1"/>
  <c r="AR241"/>
  <c r="AS241" s="1"/>
  <c r="AT247"/>
  <c r="AU247" s="1"/>
  <c r="AR247"/>
  <c r="AS247" s="1"/>
  <c r="AT253"/>
  <c r="AU253" s="1"/>
  <c r="AR253"/>
  <c r="AS253" s="1"/>
  <c r="AL257"/>
  <c r="AL276"/>
  <c r="AL277"/>
  <c r="AE280"/>
  <c r="D280" s="1"/>
  <c r="AU279"/>
  <c r="AQ279"/>
  <c r="AA279"/>
  <c r="AL280"/>
  <c r="AR281"/>
  <c r="AS281" s="1"/>
  <c r="AT281"/>
  <c r="AU281" s="1"/>
  <c r="Y285"/>
  <c r="AU285"/>
  <c r="AQ285"/>
  <c r="AL286"/>
  <c r="Y289"/>
  <c r="AQ289"/>
  <c r="AU307"/>
  <c r="AQ307"/>
  <c r="AU332"/>
  <c r="AQ332"/>
  <c r="AT305"/>
  <c r="AU305" s="1"/>
  <c r="AR305"/>
  <c r="AS305" s="1"/>
  <c r="AR40"/>
  <c r="AS40" s="1"/>
  <c r="AT40"/>
  <c r="AU40" s="1"/>
  <c r="AR39"/>
  <c r="AT39"/>
  <c r="S40"/>
  <c r="AG40"/>
  <c r="Q40"/>
  <c r="AE40"/>
  <c r="O40"/>
  <c r="AC40"/>
  <c r="M40"/>
  <c r="Y40"/>
  <c r="I40"/>
  <c r="W40"/>
  <c r="G40"/>
  <c r="AA40"/>
  <c r="U40"/>
  <c r="K40"/>
  <c r="Y27"/>
  <c r="G27"/>
  <c r="U27"/>
  <c r="AE27"/>
  <c r="O27"/>
  <c r="M8"/>
  <c r="Q19"/>
  <c r="U22"/>
  <c r="AG26"/>
  <c r="Q26"/>
  <c r="AC26"/>
  <c r="M26"/>
  <c r="AA26"/>
  <c r="K27"/>
  <c r="Y29"/>
  <c r="M30"/>
  <c r="E39"/>
  <c r="AQ39" s="1"/>
  <c r="M27"/>
  <c r="O30"/>
  <c r="E44"/>
  <c r="E35"/>
  <c r="AS35" s="1"/>
  <c r="E38"/>
  <c r="AS38" s="1"/>
  <c r="E41"/>
  <c r="E36"/>
  <c r="AS36" s="1"/>
  <c r="E43"/>
  <c r="E42"/>
  <c r="E37"/>
  <c r="AG81"/>
  <c r="Q81"/>
  <c r="AA81"/>
  <c r="K81"/>
  <c r="Y81"/>
  <c r="I81"/>
  <c r="AC81"/>
  <c r="W81"/>
  <c r="U81"/>
  <c r="O81"/>
  <c r="M81"/>
  <c r="AE81"/>
  <c r="S81"/>
  <c r="G81"/>
  <c r="W21"/>
  <c r="G21"/>
  <c r="AA21"/>
  <c r="G22"/>
  <c r="Y22"/>
  <c r="Q27"/>
  <c r="G29"/>
  <c r="AE29"/>
  <c r="AA30"/>
  <c r="K30"/>
  <c r="Y30"/>
  <c r="I30"/>
  <c r="W30"/>
  <c r="G30"/>
  <c r="AG30"/>
  <c r="Q30"/>
  <c r="AH7"/>
  <c r="W8"/>
  <c r="AA19"/>
  <c r="AE20"/>
  <c r="I20"/>
  <c r="AA20"/>
  <c r="I21"/>
  <c r="AE21"/>
  <c r="I22"/>
  <c r="AA22"/>
  <c r="AA23"/>
  <c r="K23"/>
  <c r="W23"/>
  <c r="S24"/>
  <c r="AE24"/>
  <c r="O24"/>
  <c r="Y24"/>
  <c r="O26"/>
  <c r="S27"/>
  <c r="I29"/>
  <c r="U30"/>
  <c r="AH72"/>
  <c r="S8"/>
  <c r="AA15"/>
  <c r="G15"/>
  <c r="AL15" s="1"/>
  <c r="AE15"/>
  <c r="AA17"/>
  <c r="AA18"/>
  <c r="G19"/>
  <c r="AE19"/>
  <c r="G20"/>
  <c r="K21"/>
  <c r="K22"/>
  <c r="AC22"/>
  <c r="G23"/>
  <c r="Y23"/>
  <c r="G24"/>
  <c r="AA24"/>
  <c r="S26"/>
  <c r="W27"/>
  <c r="AC30"/>
  <c r="AA95"/>
  <c r="AG27"/>
  <c r="AC33"/>
  <c r="Q33"/>
  <c r="M22"/>
  <c r="AE22"/>
  <c r="U29"/>
  <c r="AG29"/>
  <c r="Q29"/>
  <c r="AA29"/>
  <c r="K29"/>
  <c r="AA27"/>
  <c r="O29"/>
  <c r="AE30"/>
  <c r="W22"/>
  <c r="AE8"/>
  <c r="G8"/>
  <c r="AH13"/>
  <c r="AE14"/>
  <c r="G14"/>
  <c r="AL14" s="1"/>
  <c r="M19"/>
  <c r="M20"/>
  <c r="O21"/>
  <c r="O22"/>
  <c r="M23"/>
  <c r="AE23"/>
  <c r="K24"/>
  <c r="AG24"/>
  <c r="AL25"/>
  <c r="W26"/>
  <c r="AC27"/>
  <c r="S29"/>
  <c r="AC53"/>
  <c r="M53"/>
  <c r="AA53"/>
  <c r="K53"/>
  <c r="Y53"/>
  <c r="I53"/>
  <c r="S53"/>
  <c r="AG53"/>
  <c r="AE53"/>
  <c r="W53"/>
  <c r="U53"/>
  <c r="Q53"/>
  <c r="AH45"/>
  <c r="O53"/>
  <c r="G53"/>
  <c r="U31"/>
  <c r="S46"/>
  <c r="AG46"/>
  <c r="Q46"/>
  <c r="AE46"/>
  <c r="O46"/>
  <c r="Y46"/>
  <c r="G46"/>
  <c r="AA54"/>
  <c r="AA58"/>
  <c r="K58"/>
  <c r="Y58"/>
  <c r="I58"/>
  <c r="W58"/>
  <c r="G58"/>
  <c r="AG58"/>
  <c r="Q58"/>
  <c r="AC126"/>
  <c r="M126"/>
  <c r="AA126"/>
  <c r="K126"/>
  <c r="Y126"/>
  <c r="G126"/>
  <c r="AG126"/>
  <c r="AE126"/>
  <c r="W126"/>
  <c r="U126"/>
  <c r="S126"/>
  <c r="Q126"/>
  <c r="O126"/>
  <c r="G31"/>
  <c r="W31"/>
  <c r="K46"/>
  <c r="AG51"/>
  <c r="Q51"/>
  <c r="AE51"/>
  <c r="O51"/>
  <c r="AC51"/>
  <c r="M51"/>
  <c r="W51"/>
  <c r="G51"/>
  <c r="M58"/>
  <c r="S54"/>
  <c r="AG54"/>
  <c r="Q54"/>
  <c r="AE54"/>
  <c r="O54"/>
  <c r="Y54"/>
  <c r="I54"/>
  <c r="AG65"/>
  <c r="Q65"/>
  <c r="AE65"/>
  <c r="O65"/>
  <c r="K65"/>
  <c r="AC65"/>
  <c r="I65"/>
  <c r="AA65"/>
  <c r="G65"/>
  <c r="U65"/>
  <c r="G54"/>
  <c r="M65"/>
  <c r="AE71"/>
  <c r="O71"/>
  <c r="AC71"/>
  <c r="M71"/>
  <c r="Y71"/>
  <c r="W71"/>
  <c r="U71"/>
  <c r="Q71"/>
  <c r="K71"/>
  <c r="Y85"/>
  <c r="G85"/>
  <c r="S85"/>
  <c r="AG85"/>
  <c r="Q85"/>
  <c r="AE85"/>
  <c r="O85"/>
  <c r="AC85"/>
  <c r="AA85"/>
  <c r="U85"/>
  <c r="M85"/>
  <c r="K28"/>
  <c r="M31"/>
  <c r="AC31"/>
  <c r="W46"/>
  <c r="S51"/>
  <c r="K54"/>
  <c r="U58"/>
  <c r="Y61"/>
  <c r="I61"/>
  <c r="W61"/>
  <c r="G61"/>
  <c r="Q61"/>
  <c r="O61"/>
  <c r="AG61"/>
  <c r="M61"/>
  <c r="AA61"/>
  <c r="S65"/>
  <c r="G71"/>
  <c r="AA73"/>
  <c r="K73"/>
  <c r="Y73"/>
  <c r="G73"/>
  <c r="Q73"/>
  <c r="O73"/>
  <c r="AG73"/>
  <c r="M73"/>
  <c r="AC73"/>
  <c r="W73"/>
  <c r="K85"/>
  <c r="O31"/>
  <c r="AE31"/>
  <c r="E32"/>
  <c r="AA46"/>
  <c r="U51"/>
  <c r="M54"/>
  <c r="AC58"/>
  <c r="AE62"/>
  <c r="O62"/>
  <c r="AC62"/>
  <c r="M62"/>
  <c r="Q62"/>
  <c r="K62"/>
  <c r="AG62"/>
  <c r="I62"/>
  <c r="W62"/>
  <c r="W65"/>
  <c r="AE67"/>
  <c r="O67"/>
  <c r="AC67"/>
  <c r="M67"/>
  <c r="Y67"/>
  <c r="W67"/>
  <c r="U67"/>
  <c r="K67"/>
  <c r="AE69"/>
  <c r="O69"/>
  <c r="AC69"/>
  <c r="M69"/>
  <c r="Y69"/>
  <c r="W69"/>
  <c r="U69"/>
  <c r="Q69"/>
  <c r="K69"/>
  <c r="S71"/>
  <c r="W85"/>
  <c r="Q31"/>
  <c r="AC46"/>
  <c r="AA50"/>
  <c r="K50"/>
  <c r="Y50"/>
  <c r="I50"/>
  <c r="W50"/>
  <c r="G50"/>
  <c r="AG50"/>
  <c r="Q50"/>
  <c r="Y51"/>
  <c r="AL52"/>
  <c r="U54"/>
  <c r="AE58"/>
  <c r="S61"/>
  <c r="G62"/>
  <c r="Y65"/>
  <c r="G67"/>
  <c r="G69"/>
  <c r="AA71"/>
  <c r="U73"/>
  <c r="O47"/>
  <c r="AE47"/>
  <c r="U48"/>
  <c r="K49"/>
  <c r="AA49"/>
  <c r="O55"/>
  <c r="AE55"/>
  <c r="U56"/>
  <c r="AG74"/>
  <c r="Q74"/>
  <c r="AE74"/>
  <c r="O74"/>
  <c r="Y74"/>
  <c r="AG89"/>
  <c r="Q89"/>
  <c r="AA89"/>
  <c r="K89"/>
  <c r="Y89"/>
  <c r="I89"/>
  <c r="W89"/>
  <c r="G89"/>
  <c r="AC99"/>
  <c r="M99"/>
  <c r="Y99"/>
  <c r="G99"/>
  <c r="W99"/>
  <c r="U99"/>
  <c r="S99"/>
  <c r="AA99"/>
  <c r="S92"/>
  <c r="AE92"/>
  <c r="O92"/>
  <c r="AC92"/>
  <c r="M92"/>
  <c r="AA92"/>
  <c r="K92"/>
  <c r="Y92"/>
  <c r="I92"/>
  <c r="S158"/>
  <c r="AG158"/>
  <c r="Q158"/>
  <c r="AE158"/>
  <c r="O158"/>
  <c r="AC158"/>
  <c r="M158"/>
  <c r="AA158"/>
  <c r="K158"/>
  <c r="AH156"/>
  <c r="Y158"/>
  <c r="I158"/>
  <c r="W158"/>
  <c r="G158"/>
  <c r="U158"/>
  <c r="U47"/>
  <c r="U55"/>
  <c r="K56"/>
  <c r="AA56"/>
  <c r="AG57"/>
  <c r="AA64"/>
  <c r="K64"/>
  <c r="Y64"/>
  <c r="I64"/>
  <c r="AC64"/>
  <c r="K74"/>
  <c r="S77"/>
  <c r="AG77"/>
  <c r="Q77"/>
  <c r="Y77"/>
  <c r="W82"/>
  <c r="G82"/>
  <c r="AG82"/>
  <c r="Q82"/>
  <c r="AE82"/>
  <c r="O82"/>
  <c r="AC82"/>
  <c r="M82"/>
  <c r="S89"/>
  <c r="W90"/>
  <c r="G90"/>
  <c r="AG90"/>
  <c r="Q90"/>
  <c r="AE90"/>
  <c r="O90"/>
  <c r="AC90"/>
  <c r="M90"/>
  <c r="Q92"/>
  <c r="G47"/>
  <c r="W47"/>
  <c r="M48"/>
  <c r="AC48"/>
  <c r="S49"/>
  <c r="G55"/>
  <c r="W55"/>
  <c r="M56"/>
  <c r="AC56"/>
  <c r="S57"/>
  <c r="AH59"/>
  <c r="S60"/>
  <c r="G64"/>
  <c r="AE64"/>
  <c r="M74"/>
  <c r="AL74" s="1"/>
  <c r="AC76"/>
  <c r="M76"/>
  <c r="AL76" s="1"/>
  <c r="AA76"/>
  <c r="K76"/>
  <c r="Y76"/>
  <c r="G77"/>
  <c r="AA77"/>
  <c r="I82"/>
  <c r="U89"/>
  <c r="I90"/>
  <c r="U92"/>
  <c r="I47"/>
  <c r="O48"/>
  <c r="I55"/>
  <c r="O56"/>
  <c r="U60"/>
  <c r="M64"/>
  <c r="AG64"/>
  <c r="S74"/>
  <c r="I77"/>
  <c r="AC77"/>
  <c r="Y78"/>
  <c r="I78"/>
  <c r="W78"/>
  <c r="G78"/>
  <c r="AC78"/>
  <c r="AE79"/>
  <c r="O79"/>
  <c r="AC79"/>
  <c r="M79"/>
  <c r="Y79"/>
  <c r="AL80"/>
  <c r="K82"/>
  <c r="AC89"/>
  <c r="K90"/>
  <c r="W92"/>
  <c r="U98"/>
  <c r="AG98"/>
  <c r="Q98"/>
  <c r="AE98"/>
  <c r="O98"/>
  <c r="AC98"/>
  <c r="M98"/>
  <c r="AA98"/>
  <c r="K98"/>
  <c r="K99"/>
  <c r="E174"/>
  <c r="E172"/>
  <c r="AS172" s="1"/>
  <c r="E171"/>
  <c r="E173"/>
  <c r="AS173" s="1"/>
  <c r="W84"/>
  <c r="U86"/>
  <c r="O93"/>
  <c r="AE93"/>
  <c r="U94"/>
  <c r="I100"/>
  <c r="Y100"/>
  <c r="O101"/>
  <c r="AE101"/>
  <c r="U105"/>
  <c r="K117"/>
  <c r="AC117"/>
  <c r="AC118"/>
  <c r="M118"/>
  <c r="Y118"/>
  <c r="U120"/>
  <c r="U122"/>
  <c r="U130"/>
  <c r="AE130"/>
  <c r="O130"/>
  <c r="AC130"/>
  <c r="M130"/>
  <c r="AA130"/>
  <c r="K130"/>
  <c r="Y130"/>
  <c r="G130"/>
  <c r="AE146"/>
  <c r="S147"/>
  <c r="W150"/>
  <c r="S63"/>
  <c r="U68"/>
  <c r="U70"/>
  <c r="AL70" s="1"/>
  <c r="S80"/>
  <c r="G84"/>
  <c r="Y84"/>
  <c r="G86"/>
  <c r="W86"/>
  <c r="M87"/>
  <c r="AC87"/>
  <c r="E91"/>
  <c r="AQ91" s="1"/>
  <c r="Q93"/>
  <c r="AG93"/>
  <c r="E97"/>
  <c r="AS97" s="1"/>
  <c r="K100"/>
  <c r="AA100"/>
  <c r="Q101"/>
  <c r="AG101"/>
  <c r="M103"/>
  <c r="AC103"/>
  <c r="G105"/>
  <c r="W105"/>
  <c r="O106"/>
  <c r="AE106"/>
  <c r="W107"/>
  <c r="O108"/>
  <c r="AE108"/>
  <c r="W109"/>
  <c r="O110"/>
  <c r="AE110"/>
  <c r="W111"/>
  <c r="O112"/>
  <c r="AE112"/>
  <c r="W113"/>
  <c r="Q116"/>
  <c r="M117"/>
  <c r="AE117"/>
  <c r="G118"/>
  <c r="AL118" s="1"/>
  <c r="AA118"/>
  <c r="Y119"/>
  <c r="AL119" s="1"/>
  <c r="W120"/>
  <c r="W122"/>
  <c r="AC127"/>
  <c r="M127"/>
  <c r="W127"/>
  <c r="U127"/>
  <c r="S127"/>
  <c r="AG127"/>
  <c r="Q127"/>
  <c r="Q130"/>
  <c r="S142"/>
  <c r="AC142"/>
  <c r="M142"/>
  <c r="AA142"/>
  <c r="K142"/>
  <c r="Y142"/>
  <c r="I142"/>
  <c r="W142"/>
  <c r="G142"/>
  <c r="U147"/>
  <c r="K84"/>
  <c r="AA84"/>
  <c r="I86"/>
  <c r="Y86"/>
  <c r="O87"/>
  <c r="AE87"/>
  <c r="E88"/>
  <c r="AS88" s="1"/>
  <c r="S93"/>
  <c r="Y94"/>
  <c r="M100"/>
  <c r="AC100"/>
  <c r="S101"/>
  <c r="Y102"/>
  <c r="O103"/>
  <c r="AE103"/>
  <c r="I105"/>
  <c r="Y105"/>
  <c r="Q106"/>
  <c r="AG106"/>
  <c r="G107"/>
  <c r="Q108"/>
  <c r="AG108"/>
  <c r="G109"/>
  <c r="Q110"/>
  <c r="AG110"/>
  <c r="G111"/>
  <c r="Q112"/>
  <c r="AG112"/>
  <c r="AH114"/>
  <c r="O117"/>
  <c r="AG117"/>
  <c r="K118"/>
  <c r="AE118"/>
  <c r="S130"/>
  <c r="U134"/>
  <c r="AE134"/>
  <c r="O134"/>
  <c r="AC134"/>
  <c r="M134"/>
  <c r="AA134"/>
  <c r="K134"/>
  <c r="Y134"/>
  <c r="G134"/>
  <c r="AL156"/>
  <c r="U93"/>
  <c r="O100"/>
  <c r="AE100"/>
  <c r="U101"/>
  <c r="Q117"/>
  <c r="AE120"/>
  <c r="O120"/>
  <c r="AC120"/>
  <c r="M120"/>
  <c r="AA120"/>
  <c r="AE122"/>
  <c r="O122"/>
  <c r="AC122"/>
  <c r="M122"/>
  <c r="AL122" s="1"/>
  <c r="AA122"/>
  <c r="W130"/>
  <c r="W140"/>
  <c r="G140"/>
  <c r="AG140"/>
  <c r="Q140"/>
  <c r="AE140"/>
  <c r="O140"/>
  <c r="AC140"/>
  <c r="M140"/>
  <c r="AA140"/>
  <c r="K140"/>
  <c r="W143"/>
  <c r="G143"/>
  <c r="AG143"/>
  <c r="Q143"/>
  <c r="AE143"/>
  <c r="O143"/>
  <c r="AC143"/>
  <c r="M143"/>
  <c r="AA143"/>
  <c r="K143"/>
  <c r="Y152"/>
  <c r="I152"/>
  <c r="W152"/>
  <c r="G152"/>
  <c r="S152"/>
  <c r="AG152"/>
  <c r="Q152"/>
  <c r="AE152"/>
  <c r="O152"/>
  <c r="AC152"/>
  <c r="M152"/>
  <c r="U166"/>
  <c r="S166"/>
  <c r="AG166"/>
  <c r="Q166"/>
  <c r="AE166"/>
  <c r="O166"/>
  <c r="AC166"/>
  <c r="M166"/>
  <c r="AH164"/>
  <c r="AA166"/>
  <c r="K166"/>
  <c r="Y166"/>
  <c r="G166"/>
  <c r="U128"/>
  <c r="AE128"/>
  <c r="O128"/>
  <c r="AC128"/>
  <c r="M128"/>
  <c r="AA128"/>
  <c r="K128"/>
  <c r="Y128"/>
  <c r="G128"/>
  <c r="S146"/>
  <c r="AC146"/>
  <c r="M146"/>
  <c r="AA146"/>
  <c r="K146"/>
  <c r="Y146"/>
  <c r="I146"/>
  <c r="W146"/>
  <c r="G146"/>
  <c r="Q84"/>
  <c r="O86"/>
  <c r="I93"/>
  <c r="S100"/>
  <c r="I101"/>
  <c r="O105"/>
  <c r="AC116"/>
  <c r="M116"/>
  <c r="Y116"/>
  <c r="W117"/>
  <c r="S118"/>
  <c r="K120"/>
  <c r="K122"/>
  <c r="S125"/>
  <c r="AH124"/>
  <c r="AG125"/>
  <c r="Q125"/>
  <c r="Y125"/>
  <c r="Y127"/>
  <c r="Q128"/>
  <c r="U132"/>
  <c r="AE132"/>
  <c r="O132"/>
  <c r="AC132"/>
  <c r="M132"/>
  <c r="AA132"/>
  <c r="K132"/>
  <c r="Y132"/>
  <c r="G132"/>
  <c r="W134"/>
  <c r="S140"/>
  <c r="AE142"/>
  <c r="S143"/>
  <c r="O146"/>
  <c r="U152"/>
  <c r="U168"/>
  <c r="S168"/>
  <c r="AG168"/>
  <c r="Q168"/>
  <c r="AE168"/>
  <c r="O168"/>
  <c r="AC168"/>
  <c r="M168"/>
  <c r="AA168"/>
  <c r="K168"/>
  <c r="Y168"/>
  <c r="G168"/>
  <c r="Y117"/>
  <c r="S128"/>
  <c r="Q146"/>
  <c r="W147"/>
  <c r="G147"/>
  <c r="AG147"/>
  <c r="Q147"/>
  <c r="AE147"/>
  <c r="O147"/>
  <c r="AC147"/>
  <c r="M147"/>
  <c r="AA147"/>
  <c r="K147"/>
  <c r="AA150"/>
  <c r="K150"/>
  <c r="Y150"/>
  <c r="G150"/>
  <c r="U150"/>
  <c r="S150"/>
  <c r="AG150"/>
  <c r="Q150"/>
  <c r="AE150"/>
  <c r="O150"/>
  <c r="U121"/>
  <c r="U123"/>
  <c r="AL123" s="1"/>
  <c r="Q129"/>
  <c r="AG129"/>
  <c r="Q131"/>
  <c r="AG131"/>
  <c r="Q133"/>
  <c r="AL133" s="1"/>
  <c r="AG133"/>
  <c r="AH135"/>
  <c r="I137"/>
  <c r="Y137"/>
  <c r="O138"/>
  <c r="AE138"/>
  <c r="U139"/>
  <c r="Q141"/>
  <c r="AG141"/>
  <c r="O144"/>
  <c r="AE144"/>
  <c r="W149"/>
  <c r="W151"/>
  <c r="M154"/>
  <c r="AC154"/>
  <c r="Q157"/>
  <c r="AL157" s="1"/>
  <c r="AG157"/>
  <c r="M159"/>
  <c r="AC159"/>
  <c r="I161"/>
  <c r="Y161"/>
  <c r="O162"/>
  <c r="AE162"/>
  <c r="U163"/>
  <c r="Q165"/>
  <c r="AG165"/>
  <c r="Q167"/>
  <c r="AG167"/>
  <c r="Q169"/>
  <c r="AG169"/>
  <c r="AL170"/>
  <c r="W188"/>
  <c r="S222"/>
  <c r="AE222"/>
  <c r="O222"/>
  <c r="AC222"/>
  <c r="M222"/>
  <c r="Y222"/>
  <c r="W222"/>
  <c r="U222"/>
  <c r="K222"/>
  <c r="I222"/>
  <c r="AG222"/>
  <c r="G222"/>
  <c r="S129"/>
  <c r="S131"/>
  <c r="S133"/>
  <c r="K137"/>
  <c r="AA137"/>
  <c r="Q138"/>
  <c r="AG138"/>
  <c r="G139"/>
  <c r="S141"/>
  <c r="Q144"/>
  <c r="AL144" s="1"/>
  <c r="AG144"/>
  <c r="G149"/>
  <c r="G151"/>
  <c r="O154"/>
  <c r="AE154"/>
  <c r="S157"/>
  <c r="O159"/>
  <c r="AE159"/>
  <c r="K161"/>
  <c r="AA161"/>
  <c r="Q162"/>
  <c r="AG162"/>
  <c r="G163"/>
  <c r="W163"/>
  <c r="S165"/>
  <c r="S167"/>
  <c r="S169"/>
  <c r="AA199"/>
  <c r="K199"/>
  <c r="Y199"/>
  <c r="I199"/>
  <c r="W199"/>
  <c r="G199"/>
  <c r="S199"/>
  <c r="AG199"/>
  <c r="Q199"/>
  <c r="AE199"/>
  <c r="O199"/>
  <c r="Q222"/>
  <c r="U129"/>
  <c r="M137"/>
  <c r="AC137"/>
  <c r="U141"/>
  <c r="Q154"/>
  <c r="AG154"/>
  <c r="Q159"/>
  <c r="AG159"/>
  <c r="M161"/>
  <c r="AC161"/>
  <c r="AA185"/>
  <c r="K185"/>
  <c r="Y185"/>
  <c r="I185"/>
  <c r="W185"/>
  <c r="G185"/>
  <c r="S185"/>
  <c r="AG185"/>
  <c r="Q185"/>
  <c r="AE185"/>
  <c r="O185"/>
  <c r="O137"/>
  <c r="AE137"/>
  <c r="G141"/>
  <c r="S154"/>
  <c r="S159"/>
  <c r="O161"/>
  <c r="AE161"/>
  <c r="K163"/>
  <c r="AC188"/>
  <c r="M188"/>
  <c r="AA188"/>
  <c r="K188"/>
  <c r="Y188"/>
  <c r="I188"/>
  <c r="U188"/>
  <c r="S188"/>
  <c r="AG188"/>
  <c r="Q188"/>
  <c r="M185"/>
  <c r="AL192"/>
  <c r="U159"/>
  <c r="Y196"/>
  <c r="I196"/>
  <c r="W196"/>
  <c r="G196"/>
  <c r="U196"/>
  <c r="AG196"/>
  <c r="Q196"/>
  <c r="AE196"/>
  <c r="O196"/>
  <c r="AC196"/>
  <c r="M196"/>
  <c r="K196"/>
  <c r="W154"/>
  <c r="G159"/>
  <c r="W159"/>
  <c r="AA189"/>
  <c r="U191"/>
  <c r="S191"/>
  <c r="AG191"/>
  <c r="Q191"/>
  <c r="AC191"/>
  <c r="M191"/>
  <c r="AA191"/>
  <c r="K191"/>
  <c r="Y191"/>
  <c r="G191"/>
  <c r="S196"/>
  <c r="AA213"/>
  <c r="K213"/>
  <c r="Y213"/>
  <c r="I213"/>
  <c r="AH209"/>
  <c r="W213"/>
  <c r="G213"/>
  <c r="S213"/>
  <c r="AG213"/>
  <c r="Q213"/>
  <c r="AE213"/>
  <c r="O213"/>
  <c r="G154"/>
  <c r="I159"/>
  <c r="O191"/>
  <c r="AA196"/>
  <c r="M213"/>
  <c r="O176"/>
  <c r="AE176"/>
  <c r="W177"/>
  <c r="AE178"/>
  <c r="W179"/>
  <c r="I184"/>
  <c r="Y184"/>
  <c r="E186"/>
  <c r="AS186" s="1"/>
  <c r="K187"/>
  <c r="AA187"/>
  <c r="W195"/>
  <c r="I198"/>
  <c r="Y198"/>
  <c r="E200"/>
  <c r="AQ200" s="1"/>
  <c r="K201"/>
  <c r="AA201"/>
  <c r="K203"/>
  <c r="AA203"/>
  <c r="W205"/>
  <c r="W207"/>
  <c r="K210"/>
  <c r="AA210"/>
  <c r="I212"/>
  <c r="Y212"/>
  <c r="U214"/>
  <c r="M215"/>
  <c r="AC215"/>
  <c r="M217"/>
  <c r="AE217"/>
  <c r="M218"/>
  <c r="AG218"/>
  <c r="S219"/>
  <c r="S224"/>
  <c r="AL230"/>
  <c r="Q176"/>
  <c r="AG176"/>
  <c r="G177"/>
  <c r="Y177"/>
  <c r="Q178"/>
  <c r="AL178" s="1"/>
  <c r="AG178"/>
  <c r="G179"/>
  <c r="Y179"/>
  <c r="E183"/>
  <c r="K184"/>
  <c r="AA184"/>
  <c r="M187"/>
  <c r="AC187"/>
  <c r="G195"/>
  <c r="Y195"/>
  <c r="E197"/>
  <c r="K198"/>
  <c r="AA198"/>
  <c r="M201"/>
  <c r="AC201"/>
  <c r="M203"/>
  <c r="AC203"/>
  <c r="G205"/>
  <c r="Y205"/>
  <c r="G207"/>
  <c r="Y207"/>
  <c r="M210"/>
  <c r="AC210"/>
  <c r="U211"/>
  <c r="K212"/>
  <c r="AA212"/>
  <c r="G214"/>
  <c r="W214"/>
  <c r="O215"/>
  <c r="AE215"/>
  <c r="W216"/>
  <c r="O217"/>
  <c r="O218"/>
  <c r="U219"/>
  <c r="E225"/>
  <c r="E223"/>
  <c r="U224"/>
  <c r="AL227"/>
  <c r="AL259"/>
  <c r="S176"/>
  <c r="K177"/>
  <c r="AA177"/>
  <c r="S178"/>
  <c r="K179"/>
  <c r="AA179"/>
  <c r="M184"/>
  <c r="AC184"/>
  <c r="O187"/>
  <c r="AE187"/>
  <c r="K195"/>
  <c r="AA195"/>
  <c r="M198"/>
  <c r="AC198"/>
  <c r="O201"/>
  <c r="AE201"/>
  <c r="E202"/>
  <c r="AS202" s="1"/>
  <c r="O203"/>
  <c r="AE203"/>
  <c r="K205"/>
  <c r="AA205"/>
  <c r="K207"/>
  <c r="AA207"/>
  <c r="O210"/>
  <c r="AE210"/>
  <c r="W211"/>
  <c r="M212"/>
  <c r="AC212"/>
  <c r="I214"/>
  <c r="Y214"/>
  <c r="Q215"/>
  <c r="AG215"/>
  <c r="Q217"/>
  <c r="Q218"/>
  <c r="W219"/>
  <c r="AL236"/>
  <c r="AL249"/>
  <c r="AL254"/>
  <c r="O177"/>
  <c r="O179"/>
  <c r="Q184"/>
  <c r="AG184"/>
  <c r="S187"/>
  <c r="O195"/>
  <c r="Q198"/>
  <c r="AG198"/>
  <c r="S201"/>
  <c r="S203"/>
  <c r="O205"/>
  <c r="O207"/>
  <c r="S210"/>
  <c r="K211"/>
  <c r="Q212"/>
  <c r="AG212"/>
  <c r="M214"/>
  <c r="U215"/>
  <c r="M216"/>
  <c r="AL216" s="1"/>
  <c r="S184"/>
  <c r="S198"/>
  <c r="U203"/>
  <c r="W215"/>
  <c r="AG217"/>
  <c r="AA217"/>
  <c r="K217"/>
  <c r="W217"/>
  <c r="AG219"/>
  <c r="Q219"/>
  <c r="AC219"/>
  <c r="M219"/>
  <c r="AA219"/>
  <c r="K219"/>
  <c r="AE224"/>
  <c r="O224"/>
  <c r="AC224"/>
  <c r="M224"/>
  <c r="Y224"/>
  <c r="I224"/>
  <c r="W224"/>
  <c r="G224"/>
  <c r="AL241"/>
  <c r="AL263"/>
  <c r="G215"/>
  <c r="G217"/>
  <c r="Y217"/>
  <c r="Y218"/>
  <c r="G218"/>
  <c r="S218"/>
  <c r="AC218"/>
  <c r="G219"/>
  <c r="K224"/>
  <c r="W269"/>
  <c r="AE270"/>
  <c r="D270" s="1"/>
  <c r="S281"/>
  <c r="AA281"/>
  <c r="W301"/>
  <c r="D301" s="1"/>
  <c r="AE300"/>
  <c r="O300"/>
  <c r="D300" s="1"/>
  <c r="AC300"/>
  <c r="M300"/>
  <c r="Y300"/>
  <c r="AG307"/>
  <c r="Q307"/>
  <c r="AC307"/>
  <c r="M307"/>
  <c r="AA307"/>
  <c r="K307"/>
  <c r="AE307"/>
  <c r="S330"/>
  <c r="AG330"/>
  <c r="Q330"/>
  <c r="AE330"/>
  <c r="O330"/>
  <c r="M330"/>
  <c r="K260"/>
  <c r="Y260"/>
  <c r="Q266"/>
  <c r="AG266"/>
  <c r="G269"/>
  <c r="Y269"/>
  <c r="U275"/>
  <c r="G281"/>
  <c r="AC281"/>
  <c r="K285"/>
  <c r="Q289"/>
  <c r="U298"/>
  <c r="G300"/>
  <c r="AA300"/>
  <c r="G307"/>
  <c r="AE308"/>
  <c r="D308" s="1"/>
  <c r="AE311"/>
  <c r="D311" s="1"/>
  <c r="W310"/>
  <c r="G310"/>
  <c r="S310"/>
  <c r="AG310"/>
  <c r="Q310"/>
  <c r="AC310"/>
  <c r="AL316"/>
  <c r="G330"/>
  <c r="M260"/>
  <c r="AH261"/>
  <c r="S266"/>
  <c r="AA267"/>
  <c r="D267" s="1"/>
  <c r="K269"/>
  <c r="AA269"/>
  <c r="D269" s="1"/>
  <c r="K281"/>
  <c r="D281" s="1"/>
  <c r="AE281"/>
  <c r="AA282"/>
  <c r="K282"/>
  <c r="Y282"/>
  <c r="G282"/>
  <c r="AE282"/>
  <c r="M285"/>
  <c r="AE286"/>
  <c r="D286" s="1"/>
  <c r="S289"/>
  <c r="AG293"/>
  <c r="W294"/>
  <c r="D294" s="1"/>
  <c r="AE293"/>
  <c r="O293"/>
  <c r="D293" s="1"/>
  <c r="AA293"/>
  <c r="I300"/>
  <c r="AG300"/>
  <c r="AA302"/>
  <c r="K302"/>
  <c r="Y302"/>
  <c r="AL302" s="1"/>
  <c r="I302"/>
  <c r="AC302"/>
  <c r="I307"/>
  <c r="I310"/>
  <c r="AE310"/>
  <c r="D310" s="1"/>
  <c r="U312"/>
  <c r="AG312"/>
  <c r="Q312"/>
  <c r="AE312"/>
  <c r="D312" s="1"/>
  <c r="O312"/>
  <c r="AC312"/>
  <c r="S314"/>
  <c r="AE314"/>
  <c r="O314"/>
  <c r="AC314"/>
  <c r="M314"/>
  <c r="AL314" s="1"/>
  <c r="AG314"/>
  <c r="AL321"/>
  <c r="K330"/>
  <c r="U266"/>
  <c r="M269"/>
  <c r="AC269"/>
  <c r="AC275"/>
  <c r="M275"/>
  <c r="AA275"/>
  <c r="K275"/>
  <c r="D275" s="1"/>
  <c r="Y275"/>
  <c r="M281"/>
  <c r="AG281"/>
  <c r="S298"/>
  <c r="D298" s="1"/>
  <c r="AG298"/>
  <c r="Q298"/>
  <c r="Y298"/>
  <c r="K300"/>
  <c r="O307"/>
  <c r="D307" s="1"/>
  <c r="AL327"/>
  <c r="U330"/>
  <c r="Q260"/>
  <c r="AC260"/>
  <c r="G266"/>
  <c r="W266"/>
  <c r="D266" s="1"/>
  <c r="O269"/>
  <c r="AE269"/>
  <c r="G275"/>
  <c r="AE275"/>
  <c r="O281"/>
  <c r="O282"/>
  <c r="D282" s="1"/>
  <c r="AE283"/>
  <c r="D283" s="1"/>
  <c r="U285"/>
  <c r="W289"/>
  <c r="G298"/>
  <c r="AA298"/>
  <c r="Q300"/>
  <c r="S307"/>
  <c r="M310"/>
  <c r="AL317"/>
  <c r="W330"/>
  <c r="AL331"/>
  <c r="S260"/>
  <c r="AE260"/>
  <c r="I266"/>
  <c r="Y266"/>
  <c r="Q269"/>
  <c r="AG269"/>
  <c r="I275"/>
  <c r="AG275"/>
  <c r="Q281"/>
  <c r="Q282"/>
  <c r="W285"/>
  <c r="AL290"/>
  <c r="M293"/>
  <c r="I298"/>
  <c r="AC298"/>
  <c r="W299"/>
  <c r="D299" s="1"/>
  <c r="S300"/>
  <c r="O302"/>
  <c r="AE303"/>
  <c r="D303" s="1"/>
  <c r="U307"/>
  <c r="O310"/>
  <c r="M312"/>
  <c r="AL312" s="1"/>
  <c r="Q314"/>
  <c r="AE320"/>
  <c r="D320" s="1"/>
  <c r="AE318"/>
  <c r="AC318"/>
  <c r="AA318"/>
  <c r="Y318"/>
  <c r="K318"/>
  <c r="D318" s="1"/>
  <c r="AL323"/>
  <c r="Y330"/>
  <c r="U260"/>
  <c r="K266"/>
  <c r="AA266"/>
  <c r="S269"/>
  <c r="O275"/>
  <c r="AE276"/>
  <c r="D276" s="1"/>
  <c r="W281"/>
  <c r="AE289"/>
  <c r="O289"/>
  <c r="D289" s="1"/>
  <c r="AC289"/>
  <c r="M289"/>
  <c r="AA289"/>
  <c r="W291"/>
  <c r="D291" s="1"/>
  <c r="K298"/>
  <c r="AE298"/>
  <c r="U300"/>
  <c r="W307"/>
  <c r="AL308"/>
  <c r="AA330"/>
  <c r="D330" s="1"/>
  <c r="AG332"/>
  <c r="Q332"/>
  <c r="C350"/>
  <c r="D348" s="1"/>
  <c r="AE332"/>
  <c r="D332" s="1"/>
  <c r="O332"/>
  <c r="AC332"/>
  <c r="M332"/>
  <c r="AA332"/>
  <c r="K332"/>
  <c r="C347"/>
  <c r="M266"/>
  <c r="AC266"/>
  <c r="Q275"/>
  <c r="Y281"/>
  <c r="Q285"/>
  <c r="AE285"/>
  <c r="O285"/>
  <c r="AA285"/>
  <c r="M298"/>
  <c r="W300"/>
  <c r="Y307"/>
  <c r="AE331"/>
  <c r="D331" s="1"/>
  <c r="U279"/>
  <c r="W288"/>
  <c r="U296"/>
  <c r="O305"/>
  <c r="AE305"/>
  <c r="C349"/>
  <c r="G279"/>
  <c r="W279"/>
  <c r="G288"/>
  <c r="G296"/>
  <c r="Q305"/>
  <c r="AG305"/>
  <c r="AL296" l="1"/>
  <c r="AI175"/>
  <c r="AJ175" s="1"/>
  <c r="I94"/>
  <c r="W94"/>
  <c r="AL208"/>
  <c r="AL206"/>
  <c r="AL160"/>
  <c r="AG31"/>
  <c r="AL31" s="1"/>
  <c r="AL332"/>
  <c r="AL127"/>
  <c r="O94"/>
  <c r="AS94"/>
  <c r="AL18"/>
  <c r="AL145"/>
  <c r="AL66"/>
  <c r="AL57"/>
  <c r="AL26"/>
  <c r="AL211"/>
  <c r="AU94"/>
  <c r="AS31"/>
  <c r="I31"/>
  <c r="AL161"/>
  <c r="AI135"/>
  <c r="AJ135" s="1"/>
  <c r="AL125"/>
  <c r="AL108"/>
  <c r="AL153"/>
  <c r="AL115"/>
  <c r="AL63"/>
  <c r="AL305"/>
  <c r="AL17"/>
  <c r="AL293"/>
  <c r="AL121"/>
  <c r="AL68"/>
  <c r="AL162"/>
  <c r="AL151"/>
  <c r="AL165"/>
  <c r="AL111"/>
  <c r="AL106"/>
  <c r="AL60"/>
  <c r="AL56"/>
  <c r="AL19"/>
  <c r="AL75"/>
  <c r="AL113"/>
  <c r="AL129"/>
  <c r="AU44"/>
  <c r="AQ44"/>
  <c r="AC189"/>
  <c r="AU189"/>
  <c r="AQ189"/>
  <c r="U189"/>
  <c r="AU95"/>
  <c r="AQ95"/>
  <c r="AE28"/>
  <c r="AU28"/>
  <c r="AQ28"/>
  <c r="I28"/>
  <c r="AG28"/>
  <c r="G28"/>
  <c r="W28"/>
  <c r="AC28"/>
  <c r="Y28"/>
  <c r="M28"/>
  <c r="Q28"/>
  <c r="S28"/>
  <c r="D347"/>
  <c r="AL210"/>
  <c r="AL201"/>
  <c r="M189"/>
  <c r="AL191"/>
  <c r="O189"/>
  <c r="AL163"/>
  <c r="AL167"/>
  <c r="AL107"/>
  <c r="I102"/>
  <c r="AL79"/>
  <c r="AG33"/>
  <c r="M95"/>
  <c r="AL21"/>
  <c r="AU37"/>
  <c r="AQ37"/>
  <c r="W203"/>
  <c r="AU203"/>
  <c r="AQ203"/>
  <c r="Q203"/>
  <c r="G203"/>
  <c r="AG203"/>
  <c r="Y203"/>
  <c r="AS189"/>
  <c r="AG84"/>
  <c r="AU84"/>
  <c r="AQ84"/>
  <c r="AE84"/>
  <c r="AC84"/>
  <c r="U84"/>
  <c r="O84"/>
  <c r="M84"/>
  <c r="S84"/>
  <c r="S30"/>
  <c r="AU30"/>
  <c r="AQ30"/>
  <c r="AL9"/>
  <c r="AU98"/>
  <c r="AQ98"/>
  <c r="G98"/>
  <c r="W98"/>
  <c r="S98"/>
  <c r="Y98"/>
  <c r="AU88"/>
  <c r="AQ88"/>
  <c r="AU174"/>
  <c r="AQ174"/>
  <c r="AH25"/>
  <c r="AQ32"/>
  <c r="AE33"/>
  <c r="AU33"/>
  <c r="AQ33"/>
  <c r="AU32"/>
  <c r="AE102"/>
  <c r="AU102"/>
  <c r="AQ102"/>
  <c r="Q102"/>
  <c r="M102"/>
  <c r="K102"/>
  <c r="AC102"/>
  <c r="S102"/>
  <c r="AG102"/>
  <c r="AA102"/>
  <c r="AL318"/>
  <c r="AL260"/>
  <c r="AI257"/>
  <c r="AJ257" s="1"/>
  <c r="AI209"/>
  <c r="AJ209" s="1"/>
  <c r="AI204"/>
  <c r="AJ204" s="1"/>
  <c r="AE189"/>
  <c r="AL138"/>
  <c r="AI164"/>
  <c r="AJ164" s="1"/>
  <c r="AL93"/>
  <c r="AL143"/>
  <c r="AL112"/>
  <c r="G102"/>
  <c r="AI104"/>
  <c r="AJ104" s="1"/>
  <c r="AL69"/>
  <c r="AL85"/>
  <c r="S33"/>
  <c r="S95"/>
  <c r="AC95"/>
  <c r="U33"/>
  <c r="AU42"/>
  <c r="AQ42"/>
  <c r="AS354"/>
  <c r="AS200"/>
  <c r="U187"/>
  <c r="AU187"/>
  <c r="AQ187"/>
  <c r="AG187"/>
  <c r="Y187"/>
  <c r="W187"/>
  <c r="Q187"/>
  <c r="I187"/>
  <c r="G187"/>
  <c r="AL187" s="1"/>
  <c r="AL155"/>
  <c r="AE86"/>
  <c r="AU86"/>
  <c r="AQ86"/>
  <c r="Q86"/>
  <c r="M86"/>
  <c r="AL86" s="1"/>
  <c r="K86"/>
  <c r="AA86"/>
  <c r="AG86"/>
  <c r="AC86"/>
  <c r="S86"/>
  <c r="U103"/>
  <c r="AU103"/>
  <c r="AQ103"/>
  <c r="AG103"/>
  <c r="G103"/>
  <c r="AL103" s="1"/>
  <c r="AA103"/>
  <c r="Y103"/>
  <c r="W103"/>
  <c r="Q103"/>
  <c r="K103"/>
  <c r="I103"/>
  <c r="S103"/>
  <c r="AH220"/>
  <c r="AU223"/>
  <c r="AQ223"/>
  <c r="AL207"/>
  <c r="AU183"/>
  <c r="AQ183"/>
  <c r="AL176"/>
  <c r="G189"/>
  <c r="Q189"/>
  <c r="AL116"/>
  <c r="AL117"/>
  <c r="U102"/>
  <c r="AL64"/>
  <c r="AL67"/>
  <c r="I33"/>
  <c r="G95"/>
  <c r="O95"/>
  <c r="AU43"/>
  <c r="AQ43"/>
  <c r="AU200"/>
  <c r="U184"/>
  <c r="AU184"/>
  <c r="AQ184"/>
  <c r="AE184"/>
  <c r="W184"/>
  <c r="O184"/>
  <c r="G184"/>
  <c r="AS102"/>
  <c r="AU90"/>
  <c r="AQ90"/>
  <c r="Y90"/>
  <c r="U90"/>
  <c r="S90"/>
  <c r="AA90"/>
  <c r="AS33"/>
  <c r="AS43"/>
  <c r="AS187"/>
  <c r="AS44"/>
  <c r="AU99"/>
  <c r="AQ99"/>
  <c r="AE99"/>
  <c r="Q99"/>
  <c r="O99"/>
  <c r="AG99"/>
  <c r="AU225"/>
  <c r="AQ225"/>
  <c r="AU197"/>
  <c r="AQ197"/>
  <c r="W189"/>
  <c r="AG189"/>
  <c r="AL188"/>
  <c r="AL98"/>
  <c r="U28"/>
  <c r="Y33"/>
  <c r="I95"/>
  <c r="AE95"/>
  <c r="W33"/>
  <c r="AU36"/>
  <c r="AQ36"/>
  <c r="AS183"/>
  <c r="AS197"/>
  <c r="AS225"/>
  <c r="AE94"/>
  <c r="AQ94"/>
  <c r="Q94"/>
  <c r="M94"/>
  <c r="K94"/>
  <c r="S94"/>
  <c r="AG94"/>
  <c r="AC94"/>
  <c r="AA94"/>
  <c r="AL289"/>
  <c r="AL330"/>
  <c r="AL275"/>
  <c r="AL285"/>
  <c r="AL205"/>
  <c r="AL179"/>
  <c r="I189"/>
  <c r="S189"/>
  <c r="AL110"/>
  <c r="AU173"/>
  <c r="AQ173"/>
  <c r="AL48"/>
  <c r="AL62"/>
  <c r="AL50"/>
  <c r="O28"/>
  <c r="K33"/>
  <c r="W95"/>
  <c r="Q95"/>
  <c r="AU41"/>
  <c r="AQ41"/>
  <c r="G33"/>
  <c r="AU39"/>
  <c r="AS223"/>
  <c r="U87"/>
  <c r="AU87"/>
  <c r="AQ87"/>
  <c r="AG87"/>
  <c r="G87"/>
  <c r="AA87"/>
  <c r="Y87"/>
  <c r="W87"/>
  <c r="S87"/>
  <c r="K87"/>
  <c r="I87"/>
  <c r="Q87"/>
  <c r="AS28"/>
  <c r="AI114"/>
  <c r="AJ114" s="1"/>
  <c r="AI59"/>
  <c r="AJ59" s="1"/>
  <c r="D349"/>
  <c r="AL195"/>
  <c r="AU186"/>
  <c r="AQ186"/>
  <c r="Y189"/>
  <c r="AL137"/>
  <c r="AL131"/>
  <c r="AL132"/>
  <c r="O102"/>
  <c r="AL109"/>
  <c r="AU171"/>
  <c r="AQ171"/>
  <c r="AA33"/>
  <c r="Y95"/>
  <c r="AG95"/>
  <c r="AU38"/>
  <c r="AQ38"/>
  <c r="AS39"/>
  <c r="U198"/>
  <c r="AL198" s="1"/>
  <c r="AU198"/>
  <c r="AQ198"/>
  <c r="O198"/>
  <c r="W198"/>
  <c r="G198"/>
  <c r="AE198"/>
  <c r="AU199"/>
  <c r="AQ199"/>
  <c r="M199"/>
  <c r="AL199" s="1"/>
  <c r="AC199"/>
  <c r="U199"/>
  <c r="AS171"/>
  <c r="AS95"/>
  <c r="AU91"/>
  <c r="AU89"/>
  <c r="AQ89"/>
  <c r="M89"/>
  <c r="AL89" s="1"/>
  <c r="O89"/>
  <c r="AE89"/>
  <c r="AS42"/>
  <c r="AS41"/>
  <c r="AS87"/>
  <c r="AS100"/>
  <c r="AU202"/>
  <c r="AQ202"/>
  <c r="AL212"/>
  <c r="K189"/>
  <c r="AI156"/>
  <c r="AJ156" s="1"/>
  <c r="AL169"/>
  <c r="AL101"/>
  <c r="AL120"/>
  <c r="AU97"/>
  <c r="AQ97"/>
  <c r="AU172"/>
  <c r="AQ172"/>
  <c r="AA28"/>
  <c r="M33"/>
  <c r="K95"/>
  <c r="U95"/>
  <c r="AU35"/>
  <c r="AQ35"/>
  <c r="AS91"/>
  <c r="AU92"/>
  <c r="AQ92"/>
  <c r="G92"/>
  <c r="AG92"/>
  <c r="AS37"/>
  <c r="AS174"/>
  <c r="AS32"/>
  <c r="U100"/>
  <c r="AQ100"/>
  <c r="W100"/>
  <c r="Q100"/>
  <c r="G100"/>
  <c r="AL100" s="1"/>
  <c r="AG100"/>
  <c r="AA174"/>
  <c r="K174"/>
  <c r="W174"/>
  <c r="U174"/>
  <c r="AC174"/>
  <c r="Y174"/>
  <c r="S174"/>
  <c r="Q174"/>
  <c r="O174"/>
  <c r="M174"/>
  <c r="AG174"/>
  <c r="G174"/>
  <c r="AE174"/>
  <c r="W44"/>
  <c r="G44"/>
  <c r="U44"/>
  <c r="AC44"/>
  <c r="M44"/>
  <c r="AA44"/>
  <c r="Y44"/>
  <c r="S44"/>
  <c r="Q44"/>
  <c r="O44"/>
  <c r="K44"/>
  <c r="AG44"/>
  <c r="I44"/>
  <c r="AE44"/>
  <c r="AL279"/>
  <c r="AL298"/>
  <c r="AL281"/>
  <c r="D345"/>
  <c r="AL218"/>
  <c r="AL224"/>
  <c r="AE202"/>
  <c r="O202"/>
  <c r="AC202"/>
  <c r="M202"/>
  <c r="AA202"/>
  <c r="K202"/>
  <c r="W202"/>
  <c r="U202"/>
  <c r="S202"/>
  <c r="Q202"/>
  <c r="G202"/>
  <c r="AG202"/>
  <c r="Y202"/>
  <c r="U225"/>
  <c r="S225"/>
  <c r="AE225"/>
  <c r="O225"/>
  <c r="AC225"/>
  <c r="M225"/>
  <c r="Y225"/>
  <c r="W225"/>
  <c r="Q225"/>
  <c r="I225"/>
  <c r="G225"/>
  <c r="AG225"/>
  <c r="AA225"/>
  <c r="K225"/>
  <c r="AL214"/>
  <c r="AE197"/>
  <c r="O197"/>
  <c r="AC197"/>
  <c r="M197"/>
  <c r="AA197"/>
  <c r="K197"/>
  <c r="W197"/>
  <c r="G197"/>
  <c r="U197"/>
  <c r="S197"/>
  <c r="AG197"/>
  <c r="Y197"/>
  <c r="Q197"/>
  <c r="I197"/>
  <c r="AL141"/>
  <c r="AL185"/>
  <c r="AL168"/>
  <c r="AC91"/>
  <c r="M91"/>
  <c r="Y91"/>
  <c r="I91"/>
  <c r="W91"/>
  <c r="G91"/>
  <c r="U91"/>
  <c r="S91"/>
  <c r="AG91"/>
  <c r="AE91"/>
  <c r="Q91"/>
  <c r="O91"/>
  <c r="AA91"/>
  <c r="K91"/>
  <c r="AL54"/>
  <c r="AL24"/>
  <c r="AG37"/>
  <c r="Q37"/>
  <c r="AE37"/>
  <c r="O37"/>
  <c r="AC37"/>
  <c r="M37"/>
  <c r="AA37"/>
  <c r="K37"/>
  <c r="W37"/>
  <c r="G37"/>
  <c r="U37"/>
  <c r="Y37"/>
  <c r="S37"/>
  <c r="I37"/>
  <c r="AL307"/>
  <c r="AL139"/>
  <c r="AL222"/>
  <c r="AL146"/>
  <c r="AL140"/>
  <c r="AL130"/>
  <c r="AL78"/>
  <c r="AL126"/>
  <c r="Y42"/>
  <c r="I42"/>
  <c r="AG42"/>
  <c r="Q42"/>
  <c r="U42"/>
  <c r="S42"/>
  <c r="O42"/>
  <c r="M42"/>
  <c r="AC42"/>
  <c r="G42"/>
  <c r="AA42"/>
  <c r="AE42"/>
  <c r="W42"/>
  <c r="K42"/>
  <c r="AL159"/>
  <c r="AL147"/>
  <c r="AL152"/>
  <c r="AH194"/>
  <c r="AL105"/>
  <c r="AL158"/>
  <c r="AL73"/>
  <c r="AL8"/>
  <c r="AI7"/>
  <c r="AL23"/>
  <c r="AL81"/>
  <c r="AG43"/>
  <c r="AE43"/>
  <c r="O43"/>
  <c r="W43"/>
  <c r="G43"/>
  <c r="U43"/>
  <c r="S43"/>
  <c r="Q43"/>
  <c r="M43"/>
  <c r="K43"/>
  <c r="AC43"/>
  <c r="I43"/>
  <c r="AA43"/>
  <c r="Y43"/>
  <c r="AE183"/>
  <c r="O183"/>
  <c r="AC183"/>
  <c r="M183"/>
  <c r="AA183"/>
  <c r="K183"/>
  <c r="W183"/>
  <c r="G183"/>
  <c r="AH180"/>
  <c r="U183"/>
  <c r="S183"/>
  <c r="Y183"/>
  <c r="Q183"/>
  <c r="I183"/>
  <c r="AG183"/>
  <c r="AI72"/>
  <c r="AJ72" s="1"/>
  <c r="D350"/>
  <c r="D351"/>
  <c r="AL266"/>
  <c r="AI261"/>
  <c r="AJ261" s="1"/>
  <c r="AL282"/>
  <c r="AL300"/>
  <c r="AL269"/>
  <c r="AL217"/>
  <c r="AL213"/>
  <c r="AL128"/>
  <c r="AL134"/>
  <c r="AA88"/>
  <c r="K88"/>
  <c r="U88"/>
  <c r="S88"/>
  <c r="AG88"/>
  <c r="Q88"/>
  <c r="M88"/>
  <c r="I88"/>
  <c r="G88"/>
  <c r="AC88"/>
  <c r="Y88"/>
  <c r="AE88"/>
  <c r="W88"/>
  <c r="O88"/>
  <c r="AC97"/>
  <c r="M97"/>
  <c r="Y97"/>
  <c r="I97"/>
  <c r="W97"/>
  <c r="G97"/>
  <c r="U97"/>
  <c r="S97"/>
  <c r="AH96"/>
  <c r="AA97"/>
  <c r="Q97"/>
  <c r="O97"/>
  <c r="K97"/>
  <c r="AG97"/>
  <c r="AE97"/>
  <c r="AL47"/>
  <c r="AL58"/>
  <c r="AL46"/>
  <c r="AL53"/>
  <c r="AI13"/>
  <c r="AJ13" s="1"/>
  <c r="AL30"/>
  <c r="AL29"/>
  <c r="AA36"/>
  <c r="K36"/>
  <c r="Y36"/>
  <c r="I36"/>
  <c r="W36"/>
  <c r="G36"/>
  <c r="U36"/>
  <c r="AG36"/>
  <c r="Q36"/>
  <c r="AE36"/>
  <c r="O36"/>
  <c r="AC36"/>
  <c r="S36"/>
  <c r="M36"/>
  <c r="AL40"/>
  <c r="AL215"/>
  <c r="AG186"/>
  <c r="Q186"/>
  <c r="AE186"/>
  <c r="O186"/>
  <c r="AC186"/>
  <c r="M186"/>
  <c r="Y186"/>
  <c r="I186"/>
  <c r="W186"/>
  <c r="G186"/>
  <c r="U186"/>
  <c r="AA186"/>
  <c r="S186"/>
  <c r="K186"/>
  <c r="AL196"/>
  <c r="AI124"/>
  <c r="AJ124" s="1"/>
  <c r="AL142"/>
  <c r="AE173"/>
  <c r="AC173"/>
  <c r="M173"/>
  <c r="U173"/>
  <c r="S173"/>
  <c r="Q173"/>
  <c r="O173"/>
  <c r="AG173"/>
  <c r="K173"/>
  <c r="AA173"/>
  <c r="G173"/>
  <c r="Y173"/>
  <c r="W173"/>
  <c r="AL65"/>
  <c r="S41"/>
  <c r="AA41"/>
  <c r="I41"/>
  <c r="Y41"/>
  <c r="G41"/>
  <c r="W41"/>
  <c r="U41"/>
  <c r="AG41"/>
  <c r="O41"/>
  <c r="AE41"/>
  <c r="M41"/>
  <c r="AC41"/>
  <c r="Q41"/>
  <c r="K41"/>
  <c r="AL310"/>
  <c r="AL219"/>
  <c r="AL177"/>
  <c r="AL154"/>
  <c r="AI148"/>
  <c r="AJ148" s="1"/>
  <c r="AL149"/>
  <c r="AL166"/>
  <c r="AC171"/>
  <c r="M171"/>
  <c r="AA171"/>
  <c r="G171"/>
  <c r="Y171"/>
  <c r="AH170"/>
  <c r="W171"/>
  <c r="U171"/>
  <c r="S171"/>
  <c r="Q171"/>
  <c r="AG171"/>
  <c r="O171"/>
  <c r="AE171"/>
  <c r="K171"/>
  <c r="AL90"/>
  <c r="W32"/>
  <c r="G32"/>
  <c r="U32"/>
  <c r="S32"/>
  <c r="AC32"/>
  <c r="M32"/>
  <c r="AA32"/>
  <c r="K32"/>
  <c r="O32"/>
  <c r="I32"/>
  <c r="AG32"/>
  <c r="AE32"/>
  <c r="Y32"/>
  <c r="Q32"/>
  <c r="AL61"/>
  <c r="C346"/>
  <c r="W38"/>
  <c r="G38"/>
  <c r="U38"/>
  <c r="S38"/>
  <c r="AG38"/>
  <c r="Q38"/>
  <c r="AC38"/>
  <c r="M38"/>
  <c r="AA38"/>
  <c r="K38"/>
  <c r="AE38"/>
  <c r="Y38"/>
  <c r="O38"/>
  <c r="I38"/>
  <c r="AC39"/>
  <c r="M39"/>
  <c r="AA39"/>
  <c r="K39"/>
  <c r="Y39"/>
  <c r="I39"/>
  <c r="W39"/>
  <c r="G39"/>
  <c r="S39"/>
  <c r="AG39"/>
  <c r="Q39"/>
  <c r="AE39"/>
  <c r="U39"/>
  <c r="O39"/>
  <c r="AL27"/>
  <c r="Y223"/>
  <c r="I223"/>
  <c r="U223"/>
  <c r="S223"/>
  <c r="AE223"/>
  <c r="G223"/>
  <c r="AC223"/>
  <c r="AA223"/>
  <c r="Q223"/>
  <c r="O223"/>
  <c r="M223"/>
  <c r="K223"/>
  <c r="AG223"/>
  <c r="W223"/>
  <c r="AL288"/>
  <c r="AG200"/>
  <c r="Q200"/>
  <c r="AE200"/>
  <c r="O200"/>
  <c r="AC200"/>
  <c r="M200"/>
  <c r="Y200"/>
  <c r="I200"/>
  <c r="W200"/>
  <c r="G200"/>
  <c r="U200"/>
  <c r="AA200"/>
  <c r="S200"/>
  <c r="K200"/>
  <c r="AL150"/>
  <c r="AL84"/>
  <c r="U172"/>
  <c r="Y172"/>
  <c r="W172"/>
  <c r="S172"/>
  <c r="Q172"/>
  <c r="AG172"/>
  <c r="O172"/>
  <c r="AE172"/>
  <c r="M172"/>
  <c r="AC172"/>
  <c r="K172"/>
  <c r="AA172"/>
  <c r="G172"/>
  <c r="AL77"/>
  <c r="AL55"/>
  <c r="AL82"/>
  <c r="AI45"/>
  <c r="AJ45" s="1"/>
  <c r="AL71"/>
  <c r="AH83"/>
  <c r="AL51"/>
  <c r="E336"/>
  <c r="AL20"/>
  <c r="AL22"/>
  <c r="U35"/>
  <c r="S35"/>
  <c r="AH34"/>
  <c r="AG35"/>
  <c r="Q35"/>
  <c r="AE35"/>
  <c r="AA35"/>
  <c r="K35"/>
  <c r="Y35"/>
  <c r="I35"/>
  <c r="W35"/>
  <c r="O35"/>
  <c r="M35"/>
  <c r="G35"/>
  <c r="AC35"/>
  <c r="AL33"/>
  <c r="I336" l="1"/>
  <c r="I5" s="1"/>
  <c r="AL203"/>
  <c r="K336"/>
  <c r="K5" s="1"/>
  <c r="O336"/>
  <c r="O5" s="1"/>
  <c r="AL92"/>
  <c r="AL94"/>
  <c r="AL102"/>
  <c r="AQ336"/>
  <c r="AP336" s="1"/>
  <c r="AL189"/>
  <c r="AA336"/>
  <c r="AA5" s="1"/>
  <c r="AL28"/>
  <c r="AL184"/>
  <c r="AS353"/>
  <c r="AS355" s="1"/>
  <c r="AR355" s="1"/>
  <c r="AI194"/>
  <c r="AJ194" s="1"/>
  <c r="AI25"/>
  <c r="AJ25" s="1"/>
  <c r="AL99"/>
  <c r="AL87"/>
  <c r="Y336"/>
  <c r="G357" s="1"/>
  <c r="AI220"/>
  <c r="AJ220" s="1"/>
  <c r="AS338"/>
  <c r="M336"/>
  <c r="G354" s="1"/>
  <c r="AE336"/>
  <c r="AE5" s="1"/>
  <c r="AL38"/>
  <c r="AC336"/>
  <c r="G358" s="1"/>
  <c r="AI83"/>
  <c r="AJ83" s="1"/>
  <c r="AU336"/>
  <c r="AT336" s="1"/>
  <c r="AL95"/>
  <c r="AG336"/>
  <c r="Q336"/>
  <c r="G355" s="1"/>
  <c r="W336"/>
  <c r="W5" s="1"/>
  <c r="S336"/>
  <c r="S5" s="1"/>
  <c r="AL88"/>
  <c r="U336"/>
  <c r="G356" s="1"/>
  <c r="AI96"/>
  <c r="AJ96" s="1"/>
  <c r="AL32"/>
  <c r="AL186"/>
  <c r="AI180"/>
  <c r="AJ180" s="1"/>
  <c r="AL91"/>
  <c r="AL197"/>
  <c r="AH336"/>
  <c r="AH342" s="1"/>
  <c r="AI170"/>
  <c r="AJ170" s="1"/>
  <c r="AL202"/>
  <c r="C344"/>
  <c r="D344" s="1"/>
  <c r="D346"/>
  <c r="AL200"/>
  <c r="AL39"/>
  <c r="AL37"/>
  <c r="AL174"/>
  <c r="AL35"/>
  <c r="AL41"/>
  <c r="AL97"/>
  <c r="AL183"/>
  <c r="AJ7"/>
  <c r="AL42"/>
  <c r="AL225"/>
  <c r="AL173"/>
  <c r="AL36"/>
  <c r="AL43"/>
  <c r="AI34"/>
  <c r="AJ34" s="1"/>
  <c r="AL172"/>
  <c r="AL223"/>
  <c r="AL171"/>
  <c r="G336"/>
  <c r="AL44"/>
  <c r="G353"/>
  <c r="G352" l="1"/>
  <c r="G360" s="1"/>
  <c r="G5"/>
  <c r="AS336"/>
  <c r="AR336" s="1"/>
  <c r="AI336"/>
  <c r="AJ336" s="1"/>
  <c r="AL336"/>
  <c r="AK336" s="1"/>
  <c r="G361" l="1"/>
  <c r="AR352"/>
  <c r="AS352"/>
  <c r="AI342"/>
  <c r="AJ342" s="1"/>
</calcChain>
</file>

<file path=xl/sharedStrings.xml><?xml version="1.0" encoding="utf-8"?>
<sst xmlns="http://schemas.openxmlformats.org/spreadsheetml/2006/main" count="460" uniqueCount="300">
  <si>
    <t>PROGRESS REPORT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</si>
  <si>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</si>
  <si>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</si>
  <si>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</si>
  <si>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</si>
  <si>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</si>
  <si>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</si>
  <si>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</si>
  <si>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25th March'22 )</t>
  </si>
  <si>
    <t>Achieved for 3rd Milestone</t>
  </si>
  <si>
    <t>Milestone-4                                           (From 26th March'22 to 2nd May'22 )</t>
  </si>
  <si>
    <t>Achieved for 4th Milestone</t>
  </si>
  <si>
    <t>Milestone-5                                           (From 3rd May'22 to 2nd July'22 )</t>
  </si>
  <si>
    <t>Achieved for 5th Milestone</t>
  </si>
  <si>
    <t>Milestone-6                                           (From 3rd July'22 to 8th Sep'22 )</t>
  </si>
  <si>
    <t>Achieved for 6th Milestone</t>
  </si>
  <si>
    <t>Milestone-7                                           (From 9th Sep'22 to 12th Nov'22 )</t>
  </si>
  <si>
    <t>Achieved for 7th Milestone</t>
  </si>
  <si>
    <t>Milestone-8                                           (From 13th Nov'22 to 14th Dec.'22 )</t>
  </si>
  <si>
    <t>Achieved for 8th Milestone</t>
  </si>
  <si>
    <t xml:space="preserve">Total Scope </t>
  </si>
  <si>
    <t>Achieved</t>
  </si>
  <si>
    <t>Percentage</t>
  </si>
  <si>
    <t>Cumulative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</si>
  <si>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</si>
  <si>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</si>
  <si>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</si>
  <si>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</si>
  <si>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</si>
  <si>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</si>
  <si>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</si>
  <si>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</si>
  <si>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</si>
  <si>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</si>
  <si>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</si>
  <si>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</si>
  <si>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</si>
  <si>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</si>
  <si>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</si>
  <si>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</si>
  <si>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</si>
  <si>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</si>
  <si>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</si>
  <si>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</si>
  <si>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</si>
  <si>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</si>
  <si>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</si>
  <si>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</si>
  <si>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</si>
  <si>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</si>
  <si>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</si>
  <si>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</si>
  <si>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</si>
  <si>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</si>
  <si>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</si>
  <si>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</si>
  <si>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</si>
  <si>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</si>
  <si>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</si>
  <si>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</si>
  <si>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</si>
  <si>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</si>
  <si>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</si>
  <si>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</si>
  <si>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</si>
  <si>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</si>
  <si>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</si>
  <si>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</si>
  <si>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</si>
  <si>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</si>
  <si>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</si>
  <si>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</si>
  <si>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</si>
  <si>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</si>
  <si>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</si>
  <si>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</si>
  <si>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</si>
  <si>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</si>
  <si>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</si>
  <si>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</si>
  <si>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</si>
  <si>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</si>
  <si>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</si>
  <si>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</si>
  <si>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</si>
  <si>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</si>
  <si>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</si>
  <si>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</si>
  <si>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</si>
  <si>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</si>
  <si>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</si>
  <si>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</si>
  <si>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</si>
  <si>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</si>
  <si>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</si>
  <si>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</si>
  <si>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</si>
  <si>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</si>
  <si>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</si>
  <si>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</si>
  <si>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</si>
  <si>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</si>
  <si>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</si>
  <si>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</si>
  <si>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</si>
  <si>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</si>
  <si>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</si>
  <si>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</si>
  <si>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</si>
  <si>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</si>
  <si>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</si>
  <si>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</si>
  <si>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</si>
  <si>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</si>
  <si>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</si>
  <si>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</si>
  <si>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</si>
  <si>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</si>
  <si>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</si>
  <si>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</si>
  <si>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</si>
  <si>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</si>
  <si>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</si>
  <si>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</si>
  <si>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</si>
  <si>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</si>
  <si>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</si>
  <si>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</si>
  <si>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</si>
  <si>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</si>
  <si>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</si>
  <si>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</si>
  <si>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</si>
  <si>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</si>
  <si>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</si>
  <si>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</si>
  <si>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</si>
  <si>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</si>
  <si>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</si>
  <si>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</si>
  <si>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</si>
  <si>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</si>
  <si>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</si>
  <si>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</si>
  <si>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</si>
  <si>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</si>
  <si>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</si>
  <si>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</si>
  <si>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</si>
  <si>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</si>
  <si>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</si>
  <si>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</si>
  <si>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</si>
  <si>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</si>
  <si>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</si>
  <si>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</si>
  <si>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</si>
  <si>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</si>
  <si>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</si>
  <si>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</si>
  <si>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</si>
  <si>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</si>
  <si>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</si>
  <si>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</si>
  <si>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</si>
  <si>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</si>
  <si>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</si>
  <si>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</si>
  <si>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</si>
  <si>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</si>
  <si>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</si>
  <si>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</si>
  <si>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</si>
  <si>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</si>
  <si>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</si>
  <si>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</si>
  <si>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</si>
  <si>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</si>
  <si>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</si>
  <si>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</si>
  <si>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</si>
  <si>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</si>
  <si>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</si>
  <si>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</si>
  <si>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</si>
  <si>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</si>
  <si>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</si>
  <si>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</si>
  <si>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</si>
  <si>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</si>
  <si>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</si>
  <si>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</si>
  <si>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</si>
  <si>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</si>
  <si>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</si>
  <si>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</si>
  <si>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</si>
  <si>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</si>
  <si>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</si>
  <si>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</si>
  <si>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</si>
  <si>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</si>
  <si>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</si>
  <si>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</si>
  <si>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</si>
  <si>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</si>
  <si>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</si>
  <si>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</si>
  <si>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</si>
  <si>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</si>
  <si>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</si>
  <si>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</si>
  <si>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</si>
  <si>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</si>
  <si>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</si>
  <si>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</si>
  <si>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</si>
  <si>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</si>
  <si>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</si>
  <si>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</si>
  <si>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</si>
  <si>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</si>
  <si>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</si>
  <si>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</si>
  <si>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</si>
  <si>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</si>
  <si>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</si>
  <si>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</si>
  <si>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</si>
  <si>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</si>
  <si>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</si>
  <si>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</si>
  <si>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</si>
  <si>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</si>
  <si>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</si>
  <si>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</si>
  <si>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</si>
  <si>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</si>
  <si>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</si>
  <si>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</si>
  <si>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</si>
  <si>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</si>
  <si>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</si>
  <si>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</si>
  <si>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</si>
  <si>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</si>
  <si>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</si>
  <si>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</si>
  <si>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</si>
  <si>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</si>
  <si>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</si>
  <si>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</si>
  <si>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</si>
  <si>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</si>
  <si>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 cable Tray/Earthing material</t>
  </si>
  <si>
    <t>B.Installation - Cable Tray/Earthing material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</si>
  <si>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</si>
  <si>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</si>
  <si>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</si>
  <si>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</si>
  <si>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</si>
  <si>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</si>
  <si>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</si>
  <si>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</si>
  <si>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</si>
  <si>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</si>
  <si>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</si>
  <si>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</si>
  <si>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</si>
  <si>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</si>
  <si>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Total Cost</t>
  </si>
  <si>
    <t>Design &amp; Drawing Approval</t>
  </si>
  <si>
    <t>Civil work Cost</t>
  </si>
  <si>
    <t>Mechanical Work Cost</t>
  </si>
  <si>
    <t>Electrical Work Cost</t>
  </si>
  <si>
    <t>Instrumentation Work Cost</t>
  </si>
  <si>
    <t>Testing of E&amp;M Equipments</t>
  </si>
  <si>
    <t>MISC.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</si>
  <si>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</si>
  <si>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</si>
  <si>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</si>
  <si>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</si>
  <si>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</si>
  <si>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</si>
  <si>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</si>
  <si>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</si>
  <si>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</si>
  <si>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</si>
  <si>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Upto 4th Milestone</t>
  </si>
  <si>
    <t>Need for 5th Milestone</t>
  </si>
  <si>
    <t>Need</t>
  </si>
  <si>
    <t>Now</t>
  </si>
  <si>
    <t>Achieved For 5th Milestone</t>
  </si>
  <si>
    <t>Civil</t>
  </si>
  <si>
    <t>To complete 5th Milestone we need to achieve</t>
  </si>
  <si>
    <t>MEI</t>
  </si>
  <si>
    <t>Upto Oct'22</t>
  </si>
  <si>
    <t>Upto Sept'22</t>
  </si>
  <si>
    <t>For Oct'22</t>
  </si>
  <si>
    <t>Total % as on 31.12.2022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</si>
</sst>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 * #,##0_ ;_ * \-#,##0_ ;_ * &quot;-&quot;??_ ;_ @_ "/>
    <numFmt numFmtId="165" formatCode="0.000%"/>
    <numFmt numFmtId="166" formatCode="0.0%"/>
    <numFmt numFmtId="167" formatCode="_(* #,##0.00_);_(* \(#,##0.00\);_(* &quot;-&quot;??_);_(@_)"/>
  </numFmts>
  <fonts count="12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sz val="11"/>
      <color rgb="FFFF0000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A8D08D"/>
        <bgColor rgb="FFA8D08D"/>
      </patternFill>
    </fill>
    <fill>
      <patternFill patternType="solid">
        <fgColor rgb="FFB4C6E7"/>
        <bgColor rgb="FFB4C6E7"/>
      </patternFill>
    </fill>
    <fill>
      <patternFill patternType="solid">
        <fgColor rgb="FFFFFF00"/>
        <bgColor rgb="FFFFFF00"/>
      </patternFill>
    </fill>
    <fill>
      <patternFill patternType="solid">
        <fgColor rgb="FF9CC2E5"/>
        <bgColor rgb="FF9CC2E5"/>
      </patternFill>
    </fill>
    <fill>
      <patternFill patternType="solid">
        <fgColor rgb="FFFBE4D5"/>
        <bgColor rgb="FFFBE4D5"/>
      </patternFill>
    </fill>
    <fill>
      <patternFill patternType="solid">
        <fgColor rgb="FFFFE598"/>
        <bgColor rgb="FFFFE598"/>
      </patternFill>
    </fill>
    <fill>
      <patternFill patternType="solid">
        <fgColor rgb="FFDEEAF6"/>
        <bgColor rgb="FFDEEAF6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D9E2F3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9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239"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3" fillId="0" borderId="0" xfId="0" applyFont="1"/>
    <xf numFmtId="9" fontId="3" fillId="0" borderId="0" xfId="0" applyNumberFormat="1" applyFont="1"/>
    <xf numFmtId="43" fontId="3" fillId="0" borderId="0" xfId="0" applyNumberFormat="1" applyFont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164" fontId="4" fillId="2" borderId="3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43" fontId="4" fillId="2" borderId="3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 wrapText="1"/>
    </xf>
    <xf numFmtId="9" fontId="4" fillId="4" borderId="8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/>
    </xf>
    <xf numFmtId="43" fontId="3" fillId="0" borderId="8" xfId="0" applyNumberFormat="1" applyFont="1" applyBorder="1" applyAlignment="1">
      <alignment horizontal="center"/>
    </xf>
    <xf numFmtId="9" fontId="3" fillId="0" borderId="8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8" xfId="0" applyFont="1" applyBorder="1"/>
    <xf numFmtId="43" fontId="3" fillId="0" borderId="8" xfId="0" applyNumberFormat="1" applyFont="1" applyBorder="1"/>
    <xf numFmtId="0" fontId="3" fillId="0" borderId="8" xfId="0" applyFont="1" applyBorder="1" applyAlignment="1">
      <alignment vertical="center" wrapText="1"/>
    </xf>
    <xf numFmtId="164" fontId="3" fillId="0" borderId="8" xfId="0" applyNumberFormat="1" applyFont="1" applyBorder="1" applyAlignment="1">
      <alignment vertical="center" wrapText="1"/>
    </xf>
    <xf numFmtId="9" fontId="3" fillId="0" borderId="8" xfId="0" applyNumberFormat="1" applyFont="1" applyBorder="1" applyAlignment="1">
      <alignment vertical="center" wrapText="1"/>
    </xf>
    <xf numFmtId="43" fontId="3" fillId="0" borderId="8" xfId="0" applyNumberFormat="1" applyFont="1" applyBorder="1" applyAlignment="1">
      <alignment vertical="center"/>
    </xf>
    <xf numFmtId="9" fontId="3" fillId="0" borderId="8" xfId="0" applyNumberFormat="1" applyFont="1" applyBorder="1" applyAlignment="1">
      <alignment vertical="center"/>
    </xf>
    <xf numFmtId="9" fontId="3" fillId="4" borderId="8" xfId="0" applyNumberFormat="1" applyFont="1" applyFill="1" applyBorder="1" applyAlignment="1">
      <alignment vertical="center"/>
    </xf>
    <xf numFmtId="43" fontId="3" fillId="0" borderId="12" xfId="0" applyNumberFormat="1" applyFont="1" applyBorder="1" applyAlignment="1">
      <alignment vertical="center"/>
    </xf>
    <xf numFmtId="43" fontId="3" fillId="0" borderId="10" xfId="0" applyNumberFormat="1" applyFont="1" applyBorder="1" applyAlignment="1">
      <alignment vertical="center"/>
    </xf>
    <xf numFmtId="164" fontId="4" fillId="9" borderId="7" xfId="0" applyNumberFormat="1" applyFont="1" applyFill="1" applyBorder="1"/>
    <xf numFmtId="164" fontId="4" fillId="9" borderId="8" xfId="0" applyNumberFormat="1" applyFont="1" applyFill="1" applyBorder="1"/>
    <xf numFmtId="10" fontId="4" fillId="0" borderId="8" xfId="0" applyNumberFormat="1" applyFont="1" applyBorder="1" applyAlignment="1">
      <alignment horizontal="center" vertical="center"/>
    </xf>
    <xf numFmtId="164" fontId="3" fillId="0" borderId="0" xfId="0" applyNumberFormat="1" applyFont="1"/>
    <xf numFmtId="167" fontId="3" fillId="0" borderId="0" xfId="0" applyNumberFormat="1" applyFont="1"/>
    <xf numFmtId="43" fontId="3" fillId="0" borderId="0" xfId="0" applyNumberFormat="1" applyFont="1" applyAlignment="1">
      <alignment vertical="center"/>
    </xf>
    <xf numFmtId="9" fontId="3" fillId="0" borderId="0" xfId="0" applyNumberFormat="1" applyFont="1" applyAlignment="1">
      <alignment vertical="center"/>
    </xf>
    <xf numFmtId="43" fontId="3" fillId="0" borderId="17" xfId="0" applyNumberFormat="1" applyFont="1" applyBorder="1" applyAlignment="1">
      <alignment vertical="center"/>
    </xf>
    <xf numFmtId="43" fontId="3" fillId="0" borderId="18" xfId="0" applyNumberFormat="1" applyFont="1" applyBorder="1" applyAlignment="1">
      <alignment vertical="center"/>
    </xf>
    <xf numFmtId="9" fontId="3" fillId="0" borderId="18" xfId="0" applyNumberFormat="1" applyFont="1" applyBorder="1" applyAlignment="1">
      <alignment vertical="center"/>
    </xf>
    <xf numFmtId="43" fontId="3" fillId="0" borderId="0" xfId="0" applyNumberFormat="1" applyFont="1" applyAlignment="1">
      <alignment horizontal="center" vertical="center"/>
    </xf>
    <xf numFmtId="43" fontId="4" fillId="9" borderId="7" xfId="0" applyNumberFormat="1" applyFont="1" applyFill="1" applyBorder="1" applyAlignment="1">
      <alignment horizontal="center" vertical="center"/>
    </xf>
    <xf numFmtId="43" fontId="4" fillId="9" borderId="8" xfId="0" applyNumberFormat="1" applyFont="1" applyFill="1" applyBorder="1" applyAlignment="1">
      <alignment horizontal="center" vertical="center"/>
    </xf>
    <xf numFmtId="43" fontId="4" fillId="0" borderId="3" xfId="0" applyNumberFormat="1" applyFont="1" applyBorder="1" applyAlignment="1">
      <alignment vertical="center"/>
    </xf>
    <xf numFmtId="164" fontId="6" fillId="0" borderId="25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43" fontId="4" fillId="4" borderId="21" xfId="0" applyNumberFormat="1" applyFont="1" applyFill="1" applyBorder="1" applyAlignment="1">
      <alignment vertical="center"/>
    </xf>
    <xf numFmtId="10" fontId="6" fillId="4" borderId="22" xfId="0" applyNumberFormat="1" applyFont="1" applyFill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43" fontId="3" fillId="0" borderId="8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vertical="center" wrapText="1"/>
    </xf>
    <xf numFmtId="164" fontId="4" fillId="5" borderId="8" xfId="0" applyNumberFormat="1" applyFont="1" applyFill="1" applyBorder="1" applyAlignment="1">
      <alignment vertical="center"/>
    </xf>
    <xf numFmtId="0" fontId="4" fillId="5" borderId="8" xfId="0" applyFont="1" applyFill="1" applyBorder="1" applyAlignment="1">
      <alignment vertical="center"/>
    </xf>
    <xf numFmtId="43" fontId="3" fillId="5" borderId="8" xfId="0" applyNumberFormat="1" applyFont="1" applyFill="1" applyBorder="1" applyAlignment="1">
      <alignment vertical="center"/>
    </xf>
    <xf numFmtId="9" fontId="3" fillId="5" borderId="8" xfId="0" applyNumberFormat="1" applyFont="1" applyFill="1" applyBorder="1" applyAlignment="1">
      <alignment vertical="center"/>
    </xf>
    <xf numFmtId="0" fontId="3" fillId="5" borderId="8" xfId="0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vertical="center" wrapText="1"/>
    </xf>
    <xf numFmtId="164" fontId="4" fillId="6" borderId="8" xfId="0" applyNumberFormat="1" applyFont="1" applyFill="1" applyBorder="1" applyAlignment="1">
      <alignment vertical="center"/>
    </xf>
    <xf numFmtId="0" fontId="4" fillId="6" borderId="8" xfId="0" applyFont="1" applyFill="1" applyBorder="1" applyAlignment="1">
      <alignment vertical="center"/>
    </xf>
    <xf numFmtId="43" fontId="3" fillId="6" borderId="8" xfId="0" applyNumberFormat="1" applyFont="1" applyFill="1" applyBorder="1" applyAlignment="1">
      <alignment vertical="center"/>
    </xf>
    <xf numFmtId="9" fontId="3" fillId="6" borderId="8" xfId="0" applyNumberFormat="1" applyFont="1" applyFill="1" applyBorder="1" applyAlignment="1">
      <alignment vertical="center"/>
    </xf>
    <xf numFmtId="0" fontId="3" fillId="6" borderId="8" xfId="0" applyFont="1" applyFill="1" applyBorder="1" applyAlignment="1">
      <alignment vertical="center"/>
    </xf>
    <xf numFmtId="0" fontId="3" fillId="6" borderId="12" xfId="0" applyFont="1" applyFill="1" applyBorder="1" applyAlignment="1">
      <alignment vertical="center"/>
    </xf>
    <xf numFmtId="0" fontId="3" fillId="7" borderId="11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vertical="center" wrapText="1"/>
    </xf>
    <xf numFmtId="164" fontId="4" fillId="7" borderId="8" xfId="0" applyNumberFormat="1" applyFont="1" applyFill="1" applyBorder="1" applyAlignment="1">
      <alignment vertical="center"/>
    </xf>
    <xf numFmtId="0" fontId="4" fillId="7" borderId="8" xfId="0" applyFont="1" applyFill="1" applyBorder="1" applyAlignment="1">
      <alignment vertical="center"/>
    </xf>
    <xf numFmtId="43" fontId="3" fillId="7" borderId="8" xfId="0" applyNumberFormat="1" applyFont="1" applyFill="1" applyBorder="1" applyAlignment="1">
      <alignment vertical="center"/>
    </xf>
    <xf numFmtId="9" fontId="3" fillId="7" borderId="8" xfId="0" applyNumberFormat="1" applyFont="1" applyFill="1" applyBorder="1" applyAlignment="1">
      <alignment vertical="center"/>
    </xf>
    <xf numFmtId="0" fontId="3" fillId="7" borderId="8" xfId="0" applyFont="1" applyFill="1" applyBorder="1" applyAlignment="1">
      <alignment vertical="center"/>
    </xf>
    <xf numFmtId="0" fontId="3" fillId="7" borderId="12" xfId="0" applyFont="1" applyFill="1" applyBorder="1" applyAlignment="1">
      <alignment vertical="center"/>
    </xf>
    <xf numFmtId="165" fontId="3" fillId="7" borderId="8" xfId="0" applyNumberFormat="1" applyFont="1" applyFill="1" applyBorder="1" applyAlignment="1">
      <alignment vertical="center"/>
    </xf>
    <xf numFmtId="9" fontId="4" fillId="7" borderId="8" xfId="0" applyNumberFormat="1" applyFont="1" applyFill="1" applyBorder="1" applyAlignment="1">
      <alignment vertical="center"/>
    </xf>
    <xf numFmtId="164" fontId="4" fillId="4" borderId="8" xfId="0" applyNumberFormat="1" applyFont="1" applyFill="1" applyBorder="1" applyAlignment="1">
      <alignment vertical="center"/>
    </xf>
    <xf numFmtId="9" fontId="4" fillId="4" borderId="8" xfId="0" applyNumberFormat="1" applyFont="1" applyFill="1" applyBorder="1" applyAlignment="1">
      <alignment vertical="center"/>
    </xf>
    <xf numFmtId="9" fontId="4" fillId="6" borderId="8" xfId="0" applyNumberFormat="1" applyFont="1" applyFill="1" applyBorder="1" applyAlignment="1">
      <alignment vertical="center"/>
    </xf>
    <xf numFmtId="0" fontId="4" fillId="8" borderId="8" xfId="0" applyFont="1" applyFill="1" applyBorder="1" applyAlignment="1">
      <alignment vertical="center" wrapText="1"/>
    </xf>
    <xf numFmtId="164" fontId="4" fillId="8" borderId="8" xfId="0" applyNumberFormat="1" applyFont="1" applyFill="1" applyBorder="1" applyAlignment="1">
      <alignment vertical="center"/>
    </xf>
    <xf numFmtId="0" fontId="4" fillId="8" borderId="8" xfId="0" applyFont="1" applyFill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  <xf numFmtId="164" fontId="3" fillId="0" borderId="21" xfId="0" applyNumberFormat="1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43" fontId="4" fillId="9" borderId="21" xfId="0" applyNumberFormat="1" applyFont="1" applyFill="1" applyBorder="1" applyAlignment="1">
      <alignment vertical="center"/>
    </xf>
    <xf numFmtId="9" fontId="3" fillId="0" borderId="21" xfId="0" applyNumberFormat="1" applyFont="1" applyBorder="1" applyAlignment="1">
      <alignment vertical="center"/>
    </xf>
    <xf numFmtId="164" fontId="4" fillId="9" borderId="21" xfId="0" applyNumberFormat="1" applyFont="1" applyFill="1" applyBorder="1" applyAlignment="1">
      <alignment vertical="center"/>
    </xf>
    <xf numFmtId="9" fontId="4" fillId="9" borderId="21" xfId="0" applyNumberFormat="1" applyFont="1" applyFill="1" applyBorder="1" applyAlignment="1">
      <alignment vertical="center"/>
    </xf>
    <xf numFmtId="164" fontId="4" fillId="9" borderId="22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/>
    </xf>
    <xf numFmtId="43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43" fontId="3" fillId="0" borderId="3" xfId="0" applyNumberFormat="1" applyFont="1" applyBorder="1" applyAlignment="1">
      <alignment vertical="center"/>
    </xf>
    <xf numFmtId="164" fontId="8" fillId="0" borderId="25" xfId="0" applyNumberFormat="1" applyFont="1" applyBorder="1" applyAlignment="1">
      <alignment vertical="center"/>
    </xf>
    <xf numFmtId="164" fontId="8" fillId="0" borderId="12" xfId="0" applyNumberFormat="1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43" fontId="3" fillId="0" borderId="14" xfId="0" applyNumberFormat="1" applyFont="1" applyBorder="1" applyAlignment="1">
      <alignment vertical="center"/>
    </xf>
    <xf numFmtId="164" fontId="8" fillId="0" borderId="30" xfId="0" applyNumberFormat="1" applyFont="1" applyBorder="1" applyAlignment="1">
      <alignment vertical="center"/>
    </xf>
    <xf numFmtId="0" fontId="3" fillId="10" borderId="11" xfId="0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vertical="center" wrapText="1"/>
    </xf>
    <xf numFmtId="164" fontId="3" fillId="10" borderId="8" xfId="0" applyNumberFormat="1" applyFont="1" applyFill="1" applyBorder="1" applyAlignment="1">
      <alignment vertical="center"/>
    </xf>
    <xf numFmtId="9" fontId="3" fillId="10" borderId="8" xfId="0" applyNumberFormat="1" applyFont="1" applyFill="1" applyBorder="1" applyAlignment="1">
      <alignment vertical="center"/>
    </xf>
    <xf numFmtId="43" fontId="3" fillId="10" borderId="8" xfId="0" applyNumberFormat="1" applyFont="1" applyFill="1" applyBorder="1" applyAlignment="1">
      <alignment vertical="center"/>
    </xf>
    <xf numFmtId="43" fontId="3" fillId="10" borderId="12" xfId="0" applyNumberFormat="1" applyFont="1" applyFill="1" applyBorder="1" applyAlignment="1">
      <alignment vertical="center"/>
    </xf>
    <xf numFmtId="43" fontId="3" fillId="10" borderId="8" xfId="0" applyNumberFormat="1" applyFont="1" applyFill="1" applyBorder="1"/>
    <xf numFmtId="9" fontId="3" fillId="10" borderId="0" xfId="0" applyNumberFormat="1" applyFont="1" applyFill="1"/>
    <xf numFmtId="0" fontId="3" fillId="10" borderId="0" xfId="0" applyFont="1" applyFill="1"/>
    <xf numFmtId="0" fontId="0" fillId="10" borderId="0" xfId="0" applyFont="1" applyFill="1" applyAlignment="1"/>
    <xf numFmtId="9" fontId="3" fillId="11" borderId="8" xfId="0" applyNumberFormat="1" applyFont="1" applyFill="1" applyBorder="1" applyAlignment="1">
      <alignment vertical="center"/>
    </xf>
    <xf numFmtId="0" fontId="7" fillId="10" borderId="0" xfId="0" applyFont="1" applyFill="1"/>
    <xf numFmtId="0" fontId="2" fillId="10" borderId="8" xfId="0" applyFont="1" applyFill="1" applyBorder="1" applyAlignment="1">
      <alignment vertical="center" wrapText="1"/>
    </xf>
    <xf numFmtId="164" fontId="2" fillId="10" borderId="8" xfId="0" applyNumberFormat="1" applyFont="1" applyFill="1" applyBorder="1" applyAlignment="1">
      <alignment vertical="center"/>
    </xf>
    <xf numFmtId="0" fontId="2" fillId="10" borderId="8" xfId="0" applyFont="1" applyFill="1" applyBorder="1" applyAlignment="1">
      <alignment vertical="center"/>
    </xf>
    <xf numFmtId="0" fontId="4" fillId="10" borderId="8" xfId="0" applyFont="1" applyFill="1" applyBorder="1" applyAlignment="1">
      <alignment vertical="center" wrapText="1"/>
    </xf>
    <xf numFmtId="164" fontId="4" fillId="10" borderId="8" xfId="0" applyNumberFormat="1" applyFont="1" applyFill="1" applyBorder="1" applyAlignment="1">
      <alignment vertical="center"/>
    </xf>
    <xf numFmtId="9" fontId="4" fillId="10" borderId="8" xfId="0" applyNumberFormat="1" applyFont="1" applyFill="1" applyBorder="1" applyAlignment="1">
      <alignment vertical="center"/>
    </xf>
    <xf numFmtId="164" fontId="3" fillId="10" borderId="8" xfId="0" applyNumberFormat="1" applyFont="1" applyFill="1" applyBorder="1" applyAlignment="1">
      <alignment vertical="center" wrapText="1"/>
    </xf>
    <xf numFmtId="9" fontId="3" fillId="10" borderId="8" xfId="0" applyNumberFormat="1" applyFont="1" applyFill="1" applyBorder="1" applyAlignment="1">
      <alignment vertical="center" wrapText="1"/>
    </xf>
    <xf numFmtId="0" fontId="3" fillId="10" borderId="8" xfId="0" applyFont="1" applyFill="1" applyBorder="1" applyAlignment="1">
      <alignment vertical="center"/>
    </xf>
    <xf numFmtId="0" fontId="3" fillId="10" borderId="12" xfId="0" applyFont="1" applyFill="1" applyBorder="1" applyAlignment="1">
      <alignment vertical="center"/>
    </xf>
    <xf numFmtId="1" fontId="3" fillId="0" borderId="0" xfId="0" applyNumberFormat="1" applyFont="1" applyAlignment="1">
      <alignment vertical="center"/>
    </xf>
    <xf numFmtId="9" fontId="9" fillId="0" borderId="19" xfId="1" applyNumberFormat="1" applyFont="1"/>
    <xf numFmtId="0" fontId="0" fillId="0" borderId="0" xfId="0" applyFont="1" applyAlignment="1">
      <alignment vertical="center"/>
    </xf>
    <xf numFmtId="164" fontId="3" fillId="0" borderId="0" xfId="2" applyNumberFormat="1" applyFont="1" applyAlignment="1">
      <alignment vertical="center"/>
    </xf>
    <xf numFmtId="0" fontId="3" fillId="0" borderId="9" xfId="0" applyFont="1" applyBorder="1" applyAlignment="1">
      <alignment horizontal="center"/>
    </xf>
    <xf numFmtId="0" fontId="3" fillId="0" borderId="9" xfId="0" applyFont="1" applyBorder="1"/>
    <xf numFmtId="43" fontId="3" fillId="0" borderId="9" xfId="0" applyNumberFormat="1" applyFont="1" applyBorder="1"/>
    <xf numFmtId="164" fontId="4" fillId="9" borderId="9" xfId="0" applyNumberFormat="1" applyFont="1" applyFill="1" applyBorder="1"/>
    <xf numFmtId="0" fontId="3" fillId="0" borderId="34" xfId="0" applyFont="1" applyBorder="1" applyAlignment="1">
      <alignment horizontal="center"/>
    </xf>
    <xf numFmtId="0" fontId="3" fillId="0" borderId="34" xfId="0" applyFont="1" applyBorder="1"/>
    <xf numFmtId="164" fontId="4" fillId="9" borderId="34" xfId="0" applyNumberFormat="1" applyFont="1" applyFill="1" applyBorder="1"/>
    <xf numFmtId="43" fontId="3" fillId="0" borderId="34" xfId="0" applyNumberFormat="1" applyFont="1" applyBorder="1"/>
    <xf numFmtId="43" fontId="4" fillId="0" borderId="0" xfId="0" applyNumberFormat="1" applyFont="1"/>
    <xf numFmtId="164" fontId="3" fillId="0" borderId="34" xfId="0" applyNumberFormat="1" applyFont="1" applyBorder="1"/>
    <xf numFmtId="164" fontId="4" fillId="0" borderId="34" xfId="0" applyNumberFormat="1" applyFont="1" applyBorder="1"/>
    <xf numFmtId="9" fontId="3" fillId="10" borderId="8" xfId="0" applyNumberFormat="1" applyFont="1" applyFill="1" applyBorder="1" applyAlignment="1">
      <alignment horizontal="center"/>
    </xf>
    <xf numFmtId="10" fontId="4" fillId="0" borderId="8" xfId="0" applyNumberFormat="1" applyFont="1" applyBorder="1" applyAlignment="1">
      <alignment horizontal="center"/>
    </xf>
    <xf numFmtId="167" fontId="3" fillId="0" borderId="0" xfId="0" applyNumberFormat="1" applyFont="1" applyAlignment="1">
      <alignment horizontal="center"/>
    </xf>
    <xf numFmtId="10" fontId="3" fillId="0" borderId="34" xfId="0" applyNumberFormat="1" applyFont="1" applyBorder="1" applyAlignment="1">
      <alignment horizontal="center"/>
    </xf>
    <xf numFmtId="10" fontId="4" fillId="0" borderId="34" xfId="3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9" fontId="3" fillId="0" borderId="0" xfId="0" applyNumberFormat="1" applyFont="1" applyAlignment="1">
      <alignment horizontal="center"/>
    </xf>
    <xf numFmtId="9" fontId="3" fillId="12" borderId="0" xfId="3" applyFont="1" applyFill="1" applyAlignment="1">
      <alignment horizontal="center"/>
    </xf>
    <xf numFmtId="9" fontId="3" fillId="12" borderId="34" xfId="3" applyFont="1" applyFill="1" applyBorder="1" applyAlignment="1">
      <alignment horizontal="center"/>
    </xf>
    <xf numFmtId="10" fontId="4" fillId="12" borderId="34" xfId="3" applyNumberFormat="1" applyFont="1" applyFill="1" applyBorder="1" applyAlignment="1">
      <alignment horizontal="center"/>
    </xf>
    <xf numFmtId="9" fontId="4" fillId="12" borderId="0" xfId="3" applyFont="1" applyFill="1" applyAlignment="1">
      <alignment horizontal="center"/>
    </xf>
    <xf numFmtId="9" fontId="3" fillId="12" borderId="0" xfId="3" applyFont="1" applyFill="1" applyAlignment="1">
      <alignment horizontal="center" vertical="center"/>
    </xf>
    <xf numFmtId="9" fontId="0" fillId="12" borderId="0" xfId="3" applyFont="1" applyFill="1" applyAlignment="1">
      <alignment horizontal="center"/>
    </xf>
    <xf numFmtId="166" fontId="3" fillId="0" borderId="0" xfId="3" applyNumberFormat="1" applyFont="1" applyAlignment="1">
      <alignment vertical="center"/>
    </xf>
    <xf numFmtId="9" fontId="9" fillId="10" borderId="19" xfId="1" applyNumberFormat="1" applyFont="1" applyFill="1"/>
    <xf numFmtId="43" fontId="3" fillId="10" borderId="9" xfId="0" applyNumberFormat="1" applyFont="1" applyFill="1" applyBorder="1"/>
    <xf numFmtId="9" fontId="7" fillId="10" borderId="34" xfId="3" applyFont="1" applyFill="1" applyBorder="1" applyAlignment="1">
      <alignment horizontal="center"/>
    </xf>
    <xf numFmtId="43" fontId="3" fillId="10" borderId="34" xfId="0" applyNumberFormat="1" applyFont="1" applyFill="1" applyBorder="1"/>
    <xf numFmtId="0" fontId="7" fillId="10" borderId="11" xfId="0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vertical="center" wrapText="1"/>
    </xf>
    <xf numFmtId="164" fontId="7" fillId="10" borderId="8" xfId="0" applyNumberFormat="1" applyFont="1" applyFill="1" applyBorder="1" applyAlignment="1">
      <alignment vertical="center"/>
    </xf>
    <xf numFmtId="9" fontId="7" fillId="10" borderId="8" xfId="0" applyNumberFormat="1" applyFont="1" applyFill="1" applyBorder="1" applyAlignment="1">
      <alignment vertical="center"/>
    </xf>
    <xf numFmtId="43" fontId="7" fillId="10" borderId="8" xfId="0" applyNumberFormat="1" applyFont="1" applyFill="1" applyBorder="1" applyAlignment="1">
      <alignment vertical="center"/>
    </xf>
    <xf numFmtId="43" fontId="7" fillId="10" borderId="12" xfId="0" applyNumberFormat="1" applyFont="1" applyFill="1" applyBorder="1" applyAlignment="1">
      <alignment vertical="center"/>
    </xf>
    <xf numFmtId="9" fontId="7" fillId="10" borderId="8" xfId="0" applyNumberFormat="1" applyFont="1" applyFill="1" applyBorder="1" applyAlignment="1">
      <alignment horizontal="center"/>
    </xf>
    <xf numFmtId="43" fontId="7" fillId="10" borderId="8" xfId="0" applyNumberFormat="1" applyFont="1" applyFill="1" applyBorder="1"/>
    <xf numFmtId="9" fontId="7" fillId="10" borderId="0" xfId="0" applyNumberFormat="1" applyFont="1" applyFill="1"/>
    <xf numFmtId="0" fontId="11" fillId="10" borderId="0" xfId="0" applyFont="1" applyFill="1" applyAlignment="1"/>
    <xf numFmtId="164" fontId="7" fillId="10" borderId="8" xfId="0" applyNumberFormat="1" applyFont="1" applyFill="1" applyBorder="1" applyAlignment="1">
      <alignment vertical="center" wrapText="1"/>
    </xf>
    <xf numFmtId="9" fontId="7" fillId="10" borderId="8" xfId="0" applyNumberFormat="1" applyFont="1" applyFill="1" applyBorder="1" applyAlignment="1">
      <alignment vertical="center" wrapText="1"/>
    </xf>
    <xf numFmtId="9" fontId="7" fillId="11" borderId="8" xfId="0" applyNumberFormat="1" applyFont="1" applyFill="1" applyBorder="1" applyAlignment="1">
      <alignment vertical="center"/>
    </xf>
    <xf numFmtId="9" fontId="3" fillId="10" borderId="34" xfId="3" applyFont="1" applyFill="1" applyBorder="1" applyAlignment="1">
      <alignment horizontal="center"/>
    </xf>
    <xf numFmtId="0" fontId="3" fillId="10" borderId="8" xfId="0" applyFont="1" applyFill="1" applyBorder="1" applyAlignment="1">
      <alignment horizontal="left" vertical="center" wrapText="1"/>
    </xf>
    <xf numFmtId="0" fontId="4" fillId="10" borderId="8" xfId="0" applyFont="1" applyFill="1" applyBorder="1" applyAlignment="1">
      <alignment vertical="center"/>
    </xf>
    <xf numFmtId="9" fontId="3" fillId="11" borderId="8" xfId="0" applyNumberFormat="1" applyFont="1" applyFill="1" applyBorder="1" applyAlignment="1">
      <alignment horizontal="center"/>
    </xf>
    <xf numFmtId="43" fontId="3" fillId="11" borderId="8" xfId="0" applyNumberFormat="1" applyFont="1" applyFill="1" applyBorder="1"/>
    <xf numFmtId="9" fontId="3" fillId="11" borderId="34" xfId="3" applyFont="1" applyFill="1" applyBorder="1" applyAlignment="1">
      <alignment horizontal="center"/>
    </xf>
    <xf numFmtId="0" fontId="3" fillId="11" borderId="19" xfId="0" applyFont="1" applyFill="1" applyBorder="1"/>
    <xf numFmtId="164" fontId="8" fillId="10" borderId="8" xfId="0" applyNumberFormat="1" applyFont="1" applyFill="1" applyBorder="1" applyAlignment="1">
      <alignment vertical="center"/>
    </xf>
    <xf numFmtId="0" fontId="4" fillId="11" borderId="8" xfId="0" applyFont="1" applyFill="1" applyBorder="1" applyAlignment="1">
      <alignment vertical="center" wrapText="1"/>
    </xf>
    <xf numFmtId="164" fontId="4" fillId="11" borderId="8" xfId="0" applyNumberFormat="1" applyFont="1" applyFill="1" applyBorder="1" applyAlignment="1">
      <alignment vertical="center"/>
    </xf>
    <xf numFmtId="0" fontId="4" fillId="11" borderId="8" xfId="0" applyFont="1" applyFill="1" applyBorder="1" applyAlignment="1">
      <alignment vertical="center"/>
    </xf>
    <xf numFmtId="0" fontId="3" fillId="10" borderId="10" xfId="0" applyFont="1" applyFill="1" applyBorder="1" applyAlignment="1">
      <alignment horizontal="center" vertical="center"/>
    </xf>
    <xf numFmtId="9" fontId="3" fillId="10" borderId="8" xfId="0" applyNumberFormat="1" applyFont="1" applyFill="1" applyBorder="1" applyAlignment="1">
      <alignment horizontal="center" vertical="center"/>
    </xf>
    <xf numFmtId="166" fontId="3" fillId="10" borderId="8" xfId="0" applyNumberFormat="1" applyFont="1" applyFill="1" applyBorder="1" applyAlignment="1">
      <alignment vertical="center"/>
    </xf>
    <xf numFmtId="43" fontId="4" fillId="13" borderId="8" xfId="0" applyNumberFormat="1" applyFont="1" applyFill="1" applyBorder="1" applyAlignment="1">
      <alignment vertical="center"/>
    </xf>
    <xf numFmtId="9" fontId="11" fillId="10" borderId="19" xfId="1" applyNumberFormat="1" applyFont="1" applyFill="1"/>
    <xf numFmtId="43" fontId="7" fillId="10" borderId="9" xfId="0" applyNumberFormat="1" applyFont="1" applyFill="1" applyBorder="1"/>
    <xf numFmtId="43" fontId="7" fillId="10" borderId="34" xfId="0" applyNumberFormat="1" applyFont="1" applyFill="1" applyBorder="1"/>
    <xf numFmtId="0" fontId="8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8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6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4" borderId="31" xfId="0" applyFont="1" applyFill="1" applyBorder="1" applyAlignment="1">
      <alignment horizontal="center" vertical="center"/>
    </xf>
    <xf numFmtId="0" fontId="5" fillId="0" borderId="32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4" fillId="0" borderId="34" xfId="0" applyFont="1" applyBorder="1" applyAlignment="1">
      <alignment horizontal="center" vertical="center"/>
    </xf>
    <xf numFmtId="43" fontId="3" fillId="0" borderId="35" xfId="0" applyNumberFormat="1" applyFont="1" applyBorder="1" applyAlignment="1">
      <alignment horizontal="center" wrapText="1"/>
    </xf>
    <xf numFmtId="43" fontId="3" fillId="0" borderId="36" xfId="0" applyNumberFormat="1" applyFont="1" applyBorder="1" applyAlignment="1">
      <alignment horizontal="center" wrapText="1"/>
    </xf>
    <xf numFmtId="43" fontId="3" fillId="0" borderId="37" xfId="0" applyNumberFormat="1" applyFont="1" applyBorder="1" applyAlignment="1">
      <alignment horizontal="center" wrapText="1"/>
    </xf>
    <xf numFmtId="0" fontId="8" fillId="0" borderId="23" xfId="0" applyFont="1" applyBorder="1" applyAlignment="1">
      <alignment horizontal="left" vertical="center"/>
    </xf>
    <xf numFmtId="43" fontId="3" fillId="0" borderId="13" xfId="0" applyNumberFormat="1" applyFont="1" applyBorder="1" applyAlignment="1">
      <alignment horizontal="center" vertical="center"/>
    </xf>
    <xf numFmtId="0" fontId="5" fillId="0" borderId="15" xfId="0" applyFont="1" applyBorder="1"/>
    <xf numFmtId="0" fontId="5" fillId="0" borderId="17" xfId="0" applyFont="1" applyBorder="1"/>
    <xf numFmtId="43" fontId="3" fillId="0" borderId="14" xfId="0" applyNumberFormat="1" applyFont="1" applyBorder="1" applyAlignment="1">
      <alignment horizontal="center" vertical="center"/>
    </xf>
    <xf numFmtId="0" fontId="5" fillId="0" borderId="16" xfId="0" applyFont="1" applyBorder="1"/>
    <xf numFmtId="0" fontId="5" fillId="0" borderId="18" xfId="0" applyFont="1" applyBorder="1"/>
    <xf numFmtId="9" fontId="3" fillId="0" borderId="14" xfId="0" applyNumberFormat="1" applyFont="1" applyBorder="1" applyAlignment="1">
      <alignment horizontal="center" vertical="center"/>
    </xf>
    <xf numFmtId="43" fontId="3" fillId="10" borderId="13" xfId="0" applyNumberFormat="1" applyFont="1" applyFill="1" applyBorder="1" applyAlignment="1">
      <alignment horizontal="center" vertical="center"/>
    </xf>
    <xf numFmtId="0" fontId="5" fillId="10" borderId="15" xfId="0" applyFont="1" applyFill="1" applyBorder="1"/>
    <xf numFmtId="0" fontId="5" fillId="10" borderId="17" xfId="0" applyFont="1" applyFill="1" applyBorder="1"/>
    <xf numFmtId="43" fontId="3" fillId="10" borderId="14" xfId="0" applyNumberFormat="1" applyFont="1" applyFill="1" applyBorder="1" applyAlignment="1">
      <alignment horizontal="center" vertical="center"/>
    </xf>
    <xf numFmtId="0" fontId="5" fillId="10" borderId="16" xfId="0" applyFont="1" applyFill="1" applyBorder="1"/>
    <xf numFmtId="0" fontId="5" fillId="10" borderId="18" xfId="0" applyFont="1" applyFill="1" applyBorder="1"/>
    <xf numFmtId="9" fontId="3" fillId="10" borderId="14" xfId="0" applyNumberFormat="1" applyFont="1" applyFill="1" applyBorder="1" applyAlignment="1">
      <alignment horizontal="center" vertical="center"/>
    </xf>
    <xf numFmtId="9" fontId="6" fillId="0" borderId="9" xfId="0" applyNumberFormat="1" applyFont="1" applyBorder="1" applyAlignment="1">
      <alignment horizontal="center" vertical="center"/>
    </xf>
    <xf numFmtId="0" fontId="5" fillId="0" borderId="10" xfId="0" applyFont="1" applyBorder="1"/>
    <xf numFmtId="0" fontId="6" fillId="0" borderId="9" xfId="0" applyFont="1" applyBorder="1" applyAlignment="1">
      <alignment horizontal="center" vertical="center" wrapText="1"/>
    </xf>
    <xf numFmtId="0" fontId="5" fillId="0" borderId="27" xfId="0" applyFont="1" applyBorder="1"/>
    <xf numFmtId="9" fontId="4" fillId="3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</cellXfs>
  <cellStyles count="4">
    <cellStyle name="Comma" xfId="2" builtinId="3"/>
    <cellStyle name="Normal" xfId="0" builtinId="0"/>
    <cellStyle name="Normal 4" xfId="1"/>
    <cellStyle name="Percent" xfId="3" builtinId="5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361"/>
  <sheetViews>
    <sheetView tabSelected="1" view="pageBreakPreview" zoomScale="80" zoomScaleNormal="80" zoomScaleSheetLayoutView="80" workbookViewId="0">
      <pane xSplit="5" ySplit="6" topLeftCell="F320" activePane="bottomRight" state="frozen"/>
      <selection pane="topRight" activeCell="F1" sqref="F1"/>
      <selection pane="bottomLeft" activeCell="A7" sqref="A7"/>
      <selection pane="bottomRight" activeCell="B362" sqref="B362"/>
    </sheetView>
  </sheetViews>
  <sheetFormatPr defaultColWidth="14.42578125" defaultRowHeight="15" customHeight="1"/>
  <cols>
    <col min="1" max="1" width="9.140625" style="137" customWidth="1"/>
    <col min="2" max="2" width="48.7109375" style="137" customWidth="1"/>
    <col min="3" max="3" width="16.140625" style="137" hidden="1" customWidth="1"/>
    <col min="4" max="4" width="8.140625" style="137" hidden="1" customWidth="1"/>
    <col min="5" max="5" width="17.140625" style="137" customWidth="1"/>
    <col min="6" max="6" width="7" style="137" customWidth="1"/>
    <col min="7" max="7" width="15.28515625" style="137" bestFit="1" customWidth="1"/>
    <col min="8" max="8" width="7.7109375" style="137" customWidth="1"/>
    <col min="9" max="9" width="14.7109375" style="137" customWidth="1"/>
    <col min="10" max="10" width="6.85546875" style="137" customWidth="1"/>
    <col min="11" max="11" width="14.7109375" style="137" customWidth="1"/>
    <col min="12" max="12" width="6.140625" style="137" customWidth="1"/>
    <col min="13" max="13" width="14.7109375" style="137" customWidth="1"/>
    <col min="14" max="14" width="7.140625" style="137" customWidth="1"/>
    <col min="15" max="15" width="14.7109375" style="137" customWidth="1"/>
    <col min="16" max="16" width="7.28515625" style="137" customWidth="1"/>
    <col min="17" max="17" width="14.7109375" style="137" customWidth="1"/>
    <col min="18" max="18" width="7.28515625" style="137" customWidth="1"/>
    <col min="19" max="19" width="14.7109375" style="137" customWidth="1"/>
    <col min="20" max="20" width="7.28515625" style="137" customWidth="1"/>
    <col min="21" max="21" width="14.7109375" style="137" customWidth="1"/>
    <col min="22" max="22" width="7" style="137" customWidth="1"/>
    <col min="23" max="23" width="14.7109375" style="137" customWidth="1"/>
    <col min="24" max="24" width="7.28515625" style="137" customWidth="1"/>
    <col min="25" max="25" width="14.7109375" style="137" customWidth="1"/>
    <col min="26" max="26" width="7.5703125" style="137" customWidth="1"/>
    <col min="27" max="27" width="14.7109375" style="137" customWidth="1"/>
    <col min="28" max="28" width="7.28515625" style="137" customWidth="1"/>
    <col min="29" max="29" width="14.7109375" style="137" customWidth="1"/>
    <col min="30" max="30" width="7.85546875" style="137" customWidth="1"/>
    <col min="31" max="31" width="14.7109375" style="137" customWidth="1"/>
    <col min="32" max="32" width="7.28515625" style="137" customWidth="1"/>
    <col min="33" max="33" width="14.7109375" style="137" customWidth="1"/>
    <col min="34" max="36" width="11.28515625" hidden="1" customWidth="1"/>
    <col min="37" max="37" width="11.28515625" style="155" hidden="1" customWidth="1"/>
    <col min="38" max="38" width="14.140625" hidden="1" customWidth="1"/>
    <col min="39" max="41" width="9.140625" customWidth="1"/>
    <col min="42" max="42" width="9.140625" style="155" hidden="1" customWidth="1"/>
    <col min="43" max="43" width="14.140625" hidden="1" customWidth="1"/>
    <col min="44" max="44" width="9.140625" style="155" hidden="1" customWidth="1"/>
    <col min="45" max="45" width="14.140625" hidden="1" customWidth="1"/>
    <col min="46" max="46" width="7.7109375" style="162" hidden="1" customWidth="1"/>
    <col min="47" max="47" width="16.28515625" hidden="1" customWidth="1"/>
    <col min="48" max="59" width="9.140625" customWidth="1"/>
  </cols>
  <sheetData>
    <row r="1" spans="1:59" ht="30.75" customHeight="1" thickBot="1">
      <c r="A1" s="237" t="s">
        <v>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  <c r="Y1" s="238"/>
      <c r="Z1" s="238"/>
      <c r="AA1" s="238"/>
      <c r="AB1" s="238"/>
      <c r="AC1" s="238"/>
      <c r="AD1" s="238"/>
      <c r="AE1" s="238"/>
      <c r="AF1" s="238"/>
      <c r="AG1" s="238"/>
      <c r="AH1" s="1"/>
      <c r="AI1" s="1"/>
      <c r="AJ1" s="2"/>
      <c r="AK1" s="21"/>
      <c r="AL1" s="3"/>
      <c r="AM1" s="3"/>
      <c r="AN1" s="3"/>
      <c r="AO1" s="3"/>
      <c r="AP1" s="156"/>
      <c r="AQ1" s="5"/>
      <c r="AR1" s="21"/>
      <c r="AS1" s="3"/>
      <c r="AT1" s="157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</row>
    <row r="2" spans="1:59" ht="42.75" customHeight="1">
      <c r="A2" s="6" t="s">
        <v>1</v>
      </c>
      <c r="B2" s="7" t="s">
        <v>2</v>
      </c>
      <c r="C2" s="8" t="s">
        <v>3</v>
      </c>
      <c r="D2" s="9" t="s">
        <v>4</v>
      </c>
      <c r="E2" s="10" t="s">
        <v>5</v>
      </c>
      <c r="F2" s="235" t="s">
        <v>6</v>
      </c>
      <c r="G2" s="207"/>
      <c r="H2" s="235" t="s">
        <v>7</v>
      </c>
      <c r="I2" s="207"/>
      <c r="J2" s="235" t="s">
        <v>8</v>
      </c>
      <c r="K2" s="207"/>
      <c r="L2" s="234" t="s">
        <v>9</v>
      </c>
      <c r="M2" s="207"/>
      <c r="N2" s="235" t="s">
        <v>10</v>
      </c>
      <c r="O2" s="207"/>
      <c r="P2" s="234" t="s">
        <v>11</v>
      </c>
      <c r="Q2" s="207"/>
      <c r="R2" s="235" t="s">
        <v>12</v>
      </c>
      <c r="S2" s="207"/>
      <c r="T2" s="234" t="s">
        <v>13</v>
      </c>
      <c r="U2" s="207"/>
      <c r="V2" s="235" t="s">
        <v>14</v>
      </c>
      <c r="W2" s="207"/>
      <c r="X2" s="234" t="s">
        <v>15</v>
      </c>
      <c r="Y2" s="207"/>
      <c r="Z2" s="235" t="s">
        <v>16</v>
      </c>
      <c r="AA2" s="207"/>
      <c r="AB2" s="234" t="s">
        <v>17</v>
      </c>
      <c r="AC2" s="207"/>
      <c r="AD2" s="235" t="s">
        <v>18</v>
      </c>
      <c r="AE2" s="207"/>
      <c r="AF2" s="234" t="s">
        <v>19</v>
      </c>
      <c r="AG2" s="236"/>
      <c r="AH2" s="11" t="s">
        <v>20</v>
      </c>
      <c r="AI2" s="12" t="s">
        <v>21</v>
      </c>
      <c r="AJ2" s="13" t="s">
        <v>22</v>
      </c>
      <c r="AK2" s="232" t="s">
        <v>23</v>
      </c>
      <c r="AL2" s="231"/>
      <c r="AM2" s="14" t="s">
        <v>296</v>
      </c>
      <c r="AN2" s="14" t="s">
        <v>297</v>
      </c>
      <c r="AO2" s="14" t="s">
        <v>298</v>
      </c>
      <c r="AP2" s="230" t="s">
        <v>288</v>
      </c>
      <c r="AQ2" s="231"/>
      <c r="AR2" s="232" t="s">
        <v>292</v>
      </c>
      <c r="AS2" s="233"/>
      <c r="AT2" s="211" t="s">
        <v>289</v>
      </c>
      <c r="AU2" s="211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</row>
    <row r="3" spans="1:59" ht="14.25" customHeight="1">
      <c r="A3" s="50"/>
      <c r="B3" s="51"/>
      <c r="C3" s="52"/>
      <c r="D3" s="19"/>
      <c r="E3" s="53"/>
      <c r="F3" s="20" t="s">
        <v>4</v>
      </c>
      <c r="G3" s="19" t="s">
        <v>3</v>
      </c>
      <c r="H3" s="19" t="s">
        <v>4</v>
      </c>
      <c r="I3" s="19" t="s">
        <v>3</v>
      </c>
      <c r="J3" s="19" t="s">
        <v>4</v>
      </c>
      <c r="K3" s="19" t="s">
        <v>3</v>
      </c>
      <c r="L3" s="20"/>
      <c r="M3" s="19"/>
      <c r="N3" s="19" t="s">
        <v>4</v>
      </c>
      <c r="O3" s="19" t="s">
        <v>3</v>
      </c>
      <c r="P3" s="20"/>
      <c r="Q3" s="19"/>
      <c r="R3" s="19" t="s">
        <v>4</v>
      </c>
      <c r="S3" s="19" t="s">
        <v>3</v>
      </c>
      <c r="T3" s="20"/>
      <c r="U3" s="19"/>
      <c r="V3" s="19" t="s">
        <v>4</v>
      </c>
      <c r="W3" s="19" t="s">
        <v>3</v>
      </c>
      <c r="X3" s="20"/>
      <c r="Y3" s="19"/>
      <c r="Z3" s="19" t="s">
        <v>4</v>
      </c>
      <c r="AA3" s="19" t="s">
        <v>3</v>
      </c>
      <c r="AB3" s="20"/>
      <c r="AC3" s="19"/>
      <c r="AD3" s="19" t="s">
        <v>4</v>
      </c>
      <c r="AE3" s="19" t="s">
        <v>3</v>
      </c>
      <c r="AF3" s="20"/>
      <c r="AG3" s="54"/>
      <c r="AH3" s="18"/>
      <c r="AI3" s="19"/>
      <c r="AJ3" s="20"/>
      <c r="AK3" s="15"/>
      <c r="AL3" s="15"/>
      <c r="AM3" s="21"/>
      <c r="AN3" s="21"/>
      <c r="AO3" s="21"/>
      <c r="AP3" s="17"/>
      <c r="AQ3" s="16"/>
      <c r="AR3" s="15"/>
      <c r="AS3" s="139"/>
      <c r="AT3" s="158"/>
      <c r="AU3" s="143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</row>
    <row r="4" spans="1:59" ht="15" hidden="1" customHeight="1">
      <c r="A4" s="50"/>
      <c r="B4" s="24"/>
      <c r="C4" s="55"/>
      <c r="D4" s="56"/>
      <c r="E4" s="27"/>
      <c r="F4" s="28"/>
      <c r="G4" s="56"/>
      <c r="H4" s="56"/>
      <c r="I4" s="56"/>
      <c r="J4" s="56"/>
      <c r="K4" s="56"/>
      <c r="L4" s="28"/>
      <c r="M4" s="56"/>
      <c r="N4" s="56"/>
      <c r="O4" s="56"/>
      <c r="P4" s="28"/>
      <c r="Q4" s="56"/>
      <c r="R4" s="56"/>
      <c r="S4" s="56"/>
      <c r="T4" s="28"/>
      <c r="U4" s="56"/>
      <c r="V4" s="56"/>
      <c r="W4" s="56"/>
      <c r="X4" s="28"/>
      <c r="Y4" s="56"/>
      <c r="Z4" s="56"/>
      <c r="AA4" s="56"/>
      <c r="AB4" s="28"/>
      <c r="AC4" s="56"/>
      <c r="AD4" s="56"/>
      <c r="AE4" s="56"/>
      <c r="AF4" s="28"/>
      <c r="AG4" s="57"/>
      <c r="AH4" s="18"/>
      <c r="AI4" s="19"/>
      <c r="AJ4" s="20"/>
      <c r="AK4" s="15"/>
      <c r="AL4" s="22"/>
      <c r="AM4" s="3"/>
      <c r="AN4" s="3"/>
      <c r="AO4" s="3"/>
      <c r="AP4" s="17"/>
      <c r="AQ4" s="23"/>
      <c r="AR4" s="15"/>
      <c r="AS4" s="140"/>
      <c r="AT4" s="158"/>
      <c r="AU4" s="144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</row>
    <row r="5" spans="1:59" ht="15" hidden="1" customHeight="1">
      <c r="A5" s="50"/>
      <c r="B5" s="24"/>
      <c r="C5" s="55"/>
      <c r="D5" s="56"/>
      <c r="E5" s="27"/>
      <c r="F5" s="28"/>
      <c r="G5" s="27">
        <f>G336</f>
        <v>26618774.905600004</v>
      </c>
      <c r="H5" s="56"/>
      <c r="I5" s="27">
        <f>I336</f>
        <v>26618774.615499999</v>
      </c>
      <c r="J5" s="56"/>
      <c r="K5" s="27">
        <f>K336</f>
        <v>26618774.995999999</v>
      </c>
      <c r="L5" s="28"/>
      <c r="M5" s="27"/>
      <c r="N5" s="56"/>
      <c r="O5" s="27">
        <f>O336</f>
        <v>26618774.57</v>
      </c>
      <c r="P5" s="28"/>
      <c r="Q5" s="27"/>
      <c r="R5" s="56"/>
      <c r="S5" s="27">
        <f>S336</f>
        <v>26618775.484999999</v>
      </c>
      <c r="T5" s="28"/>
      <c r="U5" s="27"/>
      <c r="V5" s="56"/>
      <c r="W5" s="27">
        <f>W336</f>
        <v>26618775.225200001</v>
      </c>
      <c r="X5" s="28"/>
      <c r="Y5" s="27"/>
      <c r="Z5" s="56"/>
      <c r="AA5" s="27">
        <f>AA336</f>
        <v>26618774.99605</v>
      </c>
      <c r="AB5" s="28"/>
      <c r="AC5" s="27"/>
      <c r="AD5" s="56"/>
      <c r="AE5" s="27">
        <f>AE336</f>
        <v>26618775.206250001</v>
      </c>
      <c r="AF5" s="28"/>
      <c r="AG5" s="30"/>
      <c r="AH5" s="18"/>
      <c r="AI5" s="19"/>
      <c r="AJ5" s="20"/>
      <c r="AK5" s="15"/>
      <c r="AL5" s="22"/>
      <c r="AM5" s="3"/>
      <c r="AN5" s="3"/>
      <c r="AO5" s="3"/>
      <c r="AP5" s="17"/>
      <c r="AQ5" s="23"/>
      <c r="AR5" s="15"/>
      <c r="AS5" s="140"/>
      <c r="AT5" s="158"/>
      <c r="AU5" s="144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</row>
    <row r="6" spans="1:59" ht="15" hidden="1" customHeight="1">
      <c r="A6" s="50"/>
      <c r="B6" s="24"/>
      <c r="C6" s="55"/>
      <c r="D6" s="56"/>
      <c r="E6" s="27"/>
      <c r="F6" s="28"/>
      <c r="G6" s="56"/>
      <c r="H6" s="56"/>
      <c r="I6" s="27"/>
      <c r="J6" s="56"/>
      <c r="K6" s="27"/>
      <c r="L6" s="28"/>
      <c r="M6" s="27"/>
      <c r="N6" s="56"/>
      <c r="O6" s="27"/>
      <c r="P6" s="28"/>
      <c r="Q6" s="27"/>
      <c r="R6" s="56"/>
      <c r="S6" s="27"/>
      <c r="T6" s="28"/>
      <c r="U6" s="27"/>
      <c r="V6" s="56"/>
      <c r="W6" s="27"/>
      <c r="X6" s="28"/>
      <c r="Y6" s="27"/>
      <c r="Z6" s="56"/>
      <c r="AA6" s="27"/>
      <c r="AB6" s="28"/>
      <c r="AC6" s="27"/>
      <c r="AD6" s="56"/>
      <c r="AE6" s="27"/>
      <c r="AF6" s="28"/>
      <c r="AG6" s="30"/>
      <c r="AH6" s="18"/>
      <c r="AI6" s="19"/>
      <c r="AJ6" s="20"/>
      <c r="AK6" s="15"/>
      <c r="AL6" s="22"/>
      <c r="AM6" s="3"/>
      <c r="AN6" s="3"/>
      <c r="AO6" s="3"/>
      <c r="AP6" s="17"/>
      <c r="AQ6" s="23"/>
      <c r="AR6" s="15"/>
      <c r="AS6" s="140"/>
      <c r="AT6" s="158"/>
      <c r="AU6" s="144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</row>
    <row r="7" spans="1:59" ht="15" customHeight="1">
      <c r="A7" s="58" t="s">
        <v>24</v>
      </c>
      <c r="B7" s="59" t="s">
        <v>25</v>
      </c>
      <c r="C7" s="60">
        <v>10647510</v>
      </c>
      <c r="D7" s="61"/>
      <c r="E7" s="62"/>
      <c r="F7" s="63"/>
      <c r="G7" s="64"/>
      <c r="H7" s="64"/>
      <c r="I7" s="64"/>
      <c r="J7" s="64"/>
      <c r="K7" s="64"/>
      <c r="L7" s="63"/>
      <c r="M7" s="64"/>
      <c r="N7" s="64"/>
      <c r="O7" s="64"/>
      <c r="P7" s="63"/>
      <c r="Q7" s="64"/>
      <c r="R7" s="64"/>
      <c r="S7" s="64"/>
      <c r="T7" s="63"/>
      <c r="U7" s="64"/>
      <c r="V7" s="64"/>
      <c r="W7" s="64"/>
      <c r="X7" s="63"/>
      <c r="Y7" s="64"/>
      <c r="Z7" s="64"/>
      <c r="AA7" s="64"/>
      <c r="AB7" s="63"/>
      <c r="AC7" s="64"/>
      <c r="AD7" s="64"/>
      <c r="AE7" s="64"/>
      <c r="AF7" s="63"/>
      <c r="AG7" s="65"/>
      <c r="AH7" s="216">
        <f>SUM(E8:E10)</f>
        <v>10647510</v>
      </c>
      <c r="AI7" s="219">
        <f>SUM(G8:G10)+SUM(Q8:Q10)</f>
        <v>10647510</v>
      </c>
      <c r="AJ7" s="222">
        <f>AI7/AH7</f>
        <v>1</v>
      </c>
      <c r="AK7" s="15"/>
      <c r="AL7" s="22"/>
      <c r="AM7" s="3"/>
      <c r="AN7" s="3"/>
      <c r="AO7" s="3"/>
      <c r="AP7" s="17"/>
      <c r="AQ7" s="23"/>
      <c r="AR7" s="15"/>
      <c r="AS7" s="140"/>
      <c r="AT7" s="158"/>
      <c r="AU7" s="144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</row>
    <row r="8" spans="1:59" ht="15" customHeight="1">
      <c r="A8" s="50">
        <v>1</v>
      </c>
      <c r="B8" s="24" t="s">
        <v>26</v>
      </c>
      <c r="C8" s="55"/>
      <c r="D8" s="28">
        <v>0.5</v>
      </c>
      <c r="E8" s="27">
        <f>C7*D8</f>
        <v>5323755</v>
      </c>
      <c r="F8" s="28">
        <v>1</v>
      </c>
      <c r="G8" s="27">
        <f t="shared" ref="G8:G9" si="0">+F8*E8</f>
        <v>5323755</v>
      </c>
      <c r="H8" s="28"/>
      <c r="I8" s="27"/>
      <c r="J8" s="28"/>
      <c r="K8" s="27">
        <f t="shared" ref="K8:K9" si="1">+J8*$E8</f>
        <v>0</v>
      </c>
      <c r="L8" s="28"/>
      <c r="M8" s="27">
        <f t="shared" ref="M8:M9" si="2">L8*E8</f>
        <v>0</v>
      </c>
      <c r="N8" s="28"/>
      <c r="O8" s="27">
        <f t="shared" ref="O8:O9" si="3">+N8*$E8</f>
        <v>0</v>
      </c>
      <c r="P8" s="28"/>
      <c r="Q8" s="27"/>
      <c r="R8" s="28"/>
      <c r="S8" s="27">
        <f t="shared" ref="S8:S9" si="4">+R8*$E8</f>
        <v>0</v>
      </c>
      <c r="T8" s="28"/>
      <c r="U8" s="27"/>
      <c r="V8" s="28"/>
      <c r="W8" s="27">
        <f t="shared" ref="W8:W9" si="5">+V8*E8</f>
        <v>0</v>
      </c>
      <c r="X8" s="28"/>
      <c r="Y8" s="27"/>
      <c r="Z8" s="28"/>
      <c r="AA8" s="27">
        <f t="shared" ref="AA8:AA9" si="6">+Z8*$E8</f>
        <v>0</v>
      </c>
      <c r="AB8" s="28"/>
      <c r="AC8" s="27"/>
      <c r="AD8" s="28"/>
      <c r="AE8" s="27">
        <f t="shared" ref="AE8:AE9" si="7">+AD8*E8</f>
        <v>0</v>
      </c>
      <c r="AF8" s="28"/>
      <c r="AG8" s="30"/>
      <c r="AH8" s="217"/>
      <c r="AI8" s="220"/>
      <c r="AJ8" s="220"/>
      <c r="AK8" s="17">
        <f t="shared" ref="AK8:AL23" si="8">F8+H8+L8+P8+T8+X8+AB8+AF8</f>
        <v>1</v>
      </c>
      <c r="AL8" s="23">
        <f t="shared" si="8"/>
        <v>5323755</v>
      </c>
      <c r="AM8" s="4">
        <f>F8+H8+L8+P8+T8+X8+AB8+AF8</f>
        <v>1</v>
      </c>
      <c r="AN8" s="4">
        <v>1</v>
      </c>
      <c r="AO8" s="136">
        <f>AM8-AN8</f>
        <v>0</v>
      </c>
      <c r="AP8" s="17">
        <v>1</v>
      </c>
      <c r="AQ8" s="23">
        <f>AP8*E8</f>
        <v>5323755</v>
      </c>
      <c r="AR8" s="17">
        <f t="shared" ref="AR8:AR71" si="9">AK8-AP8</f>
        <v>0</v>
      </c>
      <c r="AS8" s="141">
        <f>AR8*E8</f>
        <v>0</v>
      </c>
      <c r="AT8" s="158"/>
      <c r="AU8" s="146">
        <f>AT8*E8</f>
        <v>0</v>
      </c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</row>
    <row r="9" spans="1:59" ht="15" customHeight="1">
      <c r="A9" s="50">
        <v>2</v>
      </c>
      <c r="B9" s="24" t="s">
        <v>27</v>
      </c>
      <c r="C9" s="25"/>
      <c r="D9" s="26">
        <v>0.5</v>
      </c>
      <c r="E9" s="27">
        <f>D9*C7</f>
        <v>5323755</v>
      </c>
      <c r="F9" s="28">
        <v>0.9</v>
      </c>
      <c r="G9" s="27">
        <f t="shared" si="0"/>
        <v>4791379.5</v>
      </c>
      <c r="H9" s="28"/>
      <c r="I9" s="27">
        <f>+H9*E9</f>
        <v>0</v>
      </c>
      <c r="J9" s="28"/>
      <c r="K9" s="27">
        <f t="shared" si="1"/>
        <v>0</v>
      </c>
      <c r="L9" s="28"/>
      <c r="M9" s="27">
        <f t="shared" si="2"/>
        <v>0</v>
      </c>
      <c r="N9" s="28">
        <v>0.1</v>
      </c>
      <c r="O9" s="27">
        <f t="shared" si="3"/>
        <v>532375.5</v>
      </c>
      <c r="P9" s="28">
        <v>0.1</v>
      </c>
      <c r="Q9" s="27">
        <f>P9*E9</f>
        <v>532375.5</v>
      </c>
      <c r="R9" s="28"/>
      <c r="S9" s="27">
        <f t="shared" si="4"/>
        <v>0</v>
      </c>
      <c r="T9" s="28"/>
      <c r="U9" s="27"/>
      <c r="V9" s="28"/>
      <c r="W9" s="27">
        <f t="shared" si="5"/>
        <v>0</v>
      </c>
      <c r="X9" s="28"/>
      <c r="Y9" s="27"/>
      <c r="Z9" s="28"/>
      <c r="AA9" s="27">
        <f t="shared" si="6"/>
        <v>0</v>
      </c>
      <c r="AB9" s="28"/>
      <c r="AC9" s="27"/>
      <c r="AD9" s="28"/>
      <c r="AE9" s="27">
        <f t="shared" si="7"/>
        <v>0</v>
      </c>
      <c r="AF9" s="28"/>
      <c r="AG9" s="30"/>
      <c r="AH9" s="217"/>
      <c r="AI9" s="220"/>
      <c r="AJ9" s="220"/>
      <c r="AK9" s="17">
        <f t="shared" si="8"/>
        <v>1</v>
      </c>
      <c r="AL9" s="23">
        <f t="shared" si="8"/>
        <v>5323755</v>
      </c>
      <c r="AM9" s="4">
        <f t="shared" ref="AM9:AM72" si="10">F9+H9+L9+P9+T9+X9+AB9+AF9</f>
        <v>1</v>
      </c>
      <c r="AN9" s="4">
        <v>1</v>
      </c>
      <c r="AO9" s="136">
        <f t="shared" ref="AO9:AO72" si="11">AM9-AN9</f>
        <v>0</v>
      </c>
      <c r="AP9" s="17">
        <v>1</v>
      </c>
      <c r="AQ9" s="23">
        <f t="shared" ref="AQ9:AQ72" si="12">AP9*E9</f>
        <v>5323755</v>
      </c>
      <c r="AR9" s="17">
        <f t="shared" si="9"/>
        <v>0</v>
      </c>
      <c r="AS9" s="141">
        <f t="shared" ref="AS9:AS72" si="13">AR9*E9</f>
        <v>0</v>
      </c>
      <c r="AT9" s="158"/>
      <c r="AU9" s="146">
        <f t="shared" ref="AU9:AU72" si="14">AT9*E9</f>
        <v>0</v>
      </c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</row>
    <row r="10" spans="1:59" ht="14.25" customHeight="1">
      <c r="A10" s="50"/>
      <c r="B10" s="24"/>
      <c r="C10" s="25"/>
      <c r="D10" s="24"/>
      <c r="E10" s="27"/>
      <c r="F10" s="28"/>
      <c r="G10" s="56"/>
      <c r="H10" s="28"/>
      <c r="I10" s="56"/>
      <c r="J10" s="56"/>
      <c r="K10" s="56"/>
      <c r="L10" s="28"/>
      <c r="M10" s="56"/>
      <c r="N10" s="56"/>
      <c r="O10" s="56"/>
      <c r="P10" s="28"/>
      <c r="Q10" s="56"/>
      <c r="R10" s="56"/>
      <c r="S10" s="56"/>
      <c r="T10" s="28"/>
      <c r="U10" s="56"/>
      <c r="V10" s="56"/>
      <c r="W10" s="56"/>
      <c r="X10" s="28"/>
      <c r="Y10" s="56"/>
      <c r="Z10" s="56"/>
      <c r="AA10" s="56"/>
      <c r="AB10" s="28"/>
      <c r="AC10" s="56"/>
      <c r="AD10" s="56"/>
      <c r="AE10" s="56"/>
      <c r="AF10" s="28"/>
      <c r="AG10" s="57"/>
      <c r="AH10" s="218"/>
      <c r="AI10" s="221"/>
      <c r="AJ10" s="221"/>
      <c r="AK10" s="17">
        <f t="shared" si="8"/>
        <v>0</v>
      </c>
      <c r="AL10" s="23">
        <f t="shared" si="8"/>
        <v>0</v>
      </c>
      <c r="AM10" s="4">
        <f t="shared" si="10"/>
        <v>0</v>
      </c>
      <c r="AN10" s="4">
        <v>0</v>
      </c>
      <c r="AO10" s="136">
        <f t="shared" si="11"/>
        <v>0</v>
      </c>
      <c r="AP10" s="17">
        <v>0</v>
      </c>
      <c r="AQ10" s="23">
        <f t="shared" si="12"/>
        <v>0</v>
      </c>
      <c r="AR10" s="17">
        <f t="shared" si="9"/>
        <v>0</v>
      </c>
      <c r="AS10" s="141">
        <f t="shared" si="13"/>
        <v>0</v>
      </c>
      <c r="AT10" s="158"/>
      <c r="AU10" s="146">
        <f t="shared" si="14"/>
        <v>0</v>
      </c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</row>
    <row r="11" spans="1:59" ht="15" customHeight="1">
      <c r="A11" s="58" t="s">
        <v>28</v>
      </c>
      <c r="B11" s="59" t="s">
        <v>29</v>
      </c>
      <c r="C11" s="60"/>
      <c r="D11" s="61"/>
      <c r="E11" s="62"/>
      <c r="F11" s="63"/>
      <c r="G11" s="64"/>
      <c r="H11" s="63"/>
      <c r="I11" s="64"/>
      <c r="J11" s="64"/>
      <c r="K11" s="64"/>
      <c r="L11" s="63"/>
      <c r="M11" s="64"/>
      <c r="N11" s="64"/>
      <c r="O11" s="64"/>
      <c r="P11" s="63"/>
      <c r="Q11" s="64"/>
      <c r="R11" s="64"/>
      <c r="S11" s="64"/>
      <c r="T11" s="63"/>
      <c r="U11" s="64"/>
      <c r="V11" s="64"/>
      <c r="W11" s="64"/>
      <c r="X11" s="63"/>
      <c r="Y11" s="64"/>
      <c r="Z11" s="64"/>
      <c r="AA11" s="64"/>
      <c r="AB11" s="63"/>
      <c r="AC11" s="64"/>
      <c r="AD11" s="64"/>
      <c r="AE11" s="64"/>
      <c r="AF11" s="63"/>
      <c r="AG11" s="65"/>
      <c r="AH11" s="18"/>
      <c r="AI11" s="20"/>
      <c r="AJ11" s="20"/>
      <c r="AK11" s="17">
        <f t="shared" si="8"/>
        <v>0</v>
      </c>
      <c r="AL11" s="23">
        <f t="shared" si="8"/>
        <v>0</v>
      </c>
      <c r="AM11" s="4">
        <f t="shared" si="10"/>
        <v>0</v>
      </c>
      <c r="AN11" s="4">
        <v>0</v>
      </c>
      <c r="AO11" s="136">
        <f t="shared" si="11"/>
        <v>0</v>
      </c>
      <c r="AP11" s="17">
        <v>0</v>
      </c>
      <c r="AQ11" s="23">
        <f t="shared" si="12"/>
        <v>0</v>
      </c>
      <c r="AR11" s="17">
        <f t="shared" si="9"/>
        <v>0</v>
      </c>
      <c r="AS11" s="141">
        <f t="shared" si="13"/>
        <v>0</v>
      </c>
      <c r="AT11" s="158"/>
      <c r="AU11" s="146">
        <f t="shared" si="14"/>
        <v>0</v>
      </c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</row>
    <row r="12" spans="1:59" ht="15" customHeight="1">
      <c r="A12" s="66" t="s">
        <v>30</v>
      </c>
      <c r="B12" s="67" t="s">
        <v>31</v>
      </c>
      <c r="C12" s="68">
        <f>95827590+10647510</f>
        <v>106475100</v>
      </c>
      <c r="D12" s="69"/>
      <c r="E12" s="70"/>
      <c r="F12" s="71"/>
      <c r="G12" s="72"/>
      <c r="H12" s="71"/>
      <c r="I12" s="72"/>
      <c r="J12" s="72"/>
      <c r="K12" s="72"/>
      <c r="L12" s="71"/>
      <c r="M12" s="72"/>
      <c r="N12" s="72"/>
      <c r="O12" s="72"/>
      <c r="P12" s="71"/>
      <c r="Q12" s="72"/>
      <c r="R12" s="72"/>
      <c r="S12" s="72"/>
      <c r="T12" s="71"/>
      <c r="U12" s="72"/>
      <c r="V12" s="72"/>
      <c r="W12" s="72"/>
      <c r="X12" s="71"/>
      <c r="Y12" s="72"/>
      <c r="Z12" s="72"/>
      <c r="AA12" s="72"/>
      <c r="AB12" s="71"/>
      <c r="AC12" s="72"/>
      <c r="AD12" s="72"/>
      <c r="AE12" s="72"/>
      <c r="AF12" s="71"/>
      <c r="AG12" s="73"/>
      <c r="AH12" s="18"/>
      <c r="AI12" s="20"/>
      <c r="AJ12" s="20"/>
      <c r="AK12" s="17">
        <f t="shared" si="8"/>
        <v>0</v>
      </c>
      <c r="AL12" s="23">
        <f t="shared" si="8"/>
        <v>0</v>
      </c>
      <c r="AM12" s="4">
        <f t="shared" si="10"/>
        <v>0</v>
      </c>
      <c r="AN12" s="4">
        <v>0</v>
      </c>
      <c r="AO12" s="136">
        <f t="shared" si="11"/>
        <v>0</v>
      </c>
      <c r="AP12" s="17">
        <v>0</v>
      </c>
      <c r="AQ12" s="23">
        <f t="shared" si="12"/>
        <v>0</v>
      </c>
      <c r="AR12" s="17">
        <f t="shared" si="9"/>
        <v>0</v>
      </c>
      <c r="AS12" s="141">
        <f t="shared" si="13"/>
        <v>0</v>
      </c>
      <c r="AT12" s="158"/>
      <c r="AU12" s="146">
        <f t="shared" si="14"/>
        <v>0</v>
      </c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</row>
    <row r="13" spans="1:59" ht="15" customHeight="1">
      <c r="A13" s="74" t="s">
        <v>32</v>
      </c>
      <c r="B13" s="75" t="s">
        <v>33</v>
      </c>
      <c r="C13" s="76">
        <v>23956898</v>
      </c>
      <c r="D13" s="77"/>
      <c r="E13" s="78"/>
      <c r="F13" s="79"/>
      <c r="G13" s="80"/>
      <c r="H13" s="79"/>
      <c r="I13" s="80"/>
      <c r="J13" s="80"/>
      <c r="K13" s="80"/>
      <c r="L13" s="79"/>
      <c r="M13" s="80"/>
      <c r="N13" s="80"/>
      <c r="O13" s="80"/>
      <c r="P13" s="79"/>
      <c r="Q13" s="80"/>
      <c r="R13" s="80"/>
      <c r="S13" s="80"/>
      <c r="T13" s="79"/>
      <c r="U13" s="80"/>
      <c r="V13" s="80"/>
      <c r="W13" s="80"/>
      <c r="X13" s="79"/>
      <c r="Y13" s="80"/>
      <c r="Z13" s="80"/>
      <c r="AA13" s="80"/>
      <c r="AB13" s="79"/>
      <c r="AC13" s="80"/>
      <c r="AD13" s="80"/>
      <c r="AE13" s="80"/>
      <c r="AF13" s="79"/>
      <c r="AG13" s="81"/>
      <c r="AH13" s="216">
        <f>SUM(E14:E24)</f>
        <v>23956898</v>
      </c>
      <c r="AI13" s="219">
        <f>SUM(AC14:AC24)+SUM(AG14:AG24)+SUM(I14:I24)+SUM(G14:G24)+SUM(M14:M24)+SUM(Q14:Q24)+SUM(U14:U24)+SUM(Y14:Y24)</f>
        <v>18685657.440000001</v>
      </c>
      <c r="AJ13" s="222">
        <f>AI13/AH13</f>
        <v>0.77996982080067301</v>
      </c>
      <c r="AK13" s="17">
        <f t="shared" si="8"/>
        <v>0</v>
      </c>
      <c r="AL13" s="23">
        <f t="shared" si="8"/>
        <v>0</v>
      </c>
      <c r="AM13" s="4">
        <f t="shared" si="10"/>
        <v>0</v>
      </c>
      <c r="AN13" s="4">
        <v>0</v>
      </c>
      <c r="AO13" s="136">
        <f t="shared" si="11"/>
        <v>0</v>
      </c>
      <c r="AP13" s="17">
        <v>0</v>
      </c>
      <c r="AQ13" s="23">
        <f t="shared" si="12"/>
        <v>0</v>
      </c>
      <c r="AR13" s="17">
        <f t="shared" si="9"/>
        <v>0</v>
      </c>
      <c r="AS13" s="141">
        <f t="shared" si="13"/>
        <v>0</v>
      </c>
      <c r="AT13" s="158"/>
      <c r="AU13" s="146">
        <f t="shared" si="14"/>
        <v>0</v>
      </c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</row>
    <row r="14" spans="1:59" s="122" customFormat="1" ht="15" customHeight="1">
      <c r="A14" s="113">
        <v>1</v>
      </c>
      <c r="B14" s="114" t="s">
        <v>34</v>
      </c>
      <c r="C14" s="115"/>
      <c r="D14" s="116">
        <v>0.02</v>
      </c>
      <c r="E14" s="117">
        <f t="shared" ref="E14:E24" si="15">+D14*$C$13</f>
        <v>479137.96</v>
      </c>
      <c r="F14" s="116">
        <v>1</v>
      </c>
      <c r="G14" s="117">
        <f t="shared" ref="G14:G221" si="16">+F14*E14</f>
        <v>479137.96</v>
      </c>
      <c r="H14" s="116">
        <v>0</v>
      </c>
      <c r="I14" s="117"/>
      <c r="J14" s="116"/>
      <c r="K14" s="117">
        <f t="shared" ref="K14:K15" si="17">+J14*$E14</f>
        <v>0</v>
      </c>
      <c r="L14" s="116"/>
      <c r="M14" s="117">
        <f t="shared" ref="M14:M24" si="18">L14*E14</f>
        <v>0</v>
      </c>
      <c r="N14" s="116"/>
      <c r="O14" s="117">
        <f t="shared" ref="O14:O184" si="19">+N14*$E14</f>
        <v>0</v>
      </c>
      <c r="P14" s="116"/>
      <c r="Q14" s="117">
        <f t="shared" ref="Q14:Q268" si="20">P14*E14</f>
        <v>0</v>
      </c>
      <c r="R14" s="116"/>
      <c r="S14" s="117">
        <f t="shared" ref="S14:S184" si="21">+R14*$E14</f>
        <v>0</v>
      </c>
      <c r="T14" s="116"/>
      <c r="U14" s="117"/>
      <c r="V14" s="116"/>
      <c r="W14" s="117">
        <f t="shared" ref="W14:W230" si="22">+V14*E14</f>
        <v>0</v>
      </c>
      <c r="X14" s="116"/>
      <c r="Y14" s="117"/>
      <c r="Z14" s="116"/>
      <c r="AA14" s="117">
        <f t="shared" ref="AA14:AA224" si="23">+Z14*$E14</f>
        <v>0</v>
      </c>
      <c r="AB14" s="116"/>
      <c r="AC14" s="117"/>
      <c r="AD14" s="116"/>
      <c r="AE14" s="117">
        <f t="shared" ref="AE14:AE224" si="24">+AD14*E14</f>
        <v>0</v>
      </c>
      <c r="AF14" s="116"/>
      <c r="AG14" s="118"/>
      <c r="AH14" s="217"/>
      <c r="AI14" s="220"/>
      <c r="AJ14" s="220"/>
      <c r="AK14" s="150">
        <f t="shared" si="8"/>
        <v>1</v>
      </c>
      <c r="AL14" s="119">
        <f t="shared" si="8"/>
        <v>479137.96</v>
      </c>
      <c r="AM14" s="120">
        <f t="shared" si="10"/>
        <v>1</v>
      </c>
      <c r="AN14" s="120">
        <v>1</v>
      </c>
      <c r="AO14" s="164">
        <f t="shared" si="11"/>
        <v>0</v>
      </c>
      <c r="AP14" s="150">
        <v>1</v>
      </c>
      <c r="AQ14" s="119">
        <f t="shared" si="12"/>
        <v>479137.96</v>
      </c>
      <c r="AR14" s="150">
        <f t="shared" si="9"/>
        <v>0</v>
      </c>
      <c r="AS14" s="165">
        <f t="shared" si="13"/>
        <v>0</v>
      </c>
      <c r="AT14" s="181"/>
      <c r="AU14" s="167">
        <f t="shared" si="14"/>
        <v>0</v>
      </c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</row>
    <row r="15" spans="1:59" s="122" customFormat="1" ht="15" customHeight="1">
      <c r="A15" s="113">
        <v>2</v>
      </c>
      <c r="B15" s="114" t="s">
        <v>35</v>
      </c>
      <c r="C15" s="115"/>
      <c r="D15" s="116">
        <v>0.08</v>
      </c>
      <c r="E15" s="117">
        <f t="shared" si="15"/>
        <v>1916551.84</v>
      </c>
      <c r="F15" s="116">
        <v>0.6</v>
      </c>
      <c r="G15" s="117">
        <f t="shared" si="16"/>
        <v>1149931.1040000001</v>
      </c>
      <c r="H15" s="116">
        <v>0.4</v>
      </c>
      <c r="I15" s="117">
        <f>+H15*$E15</f>
        <v>766620.73600000003</v>
      </c>
      <c r="J15" s="116"/>
      <c r="K15" s="117">
        <f t="shared" si="17"/>
        <v>0</v>
      </c>
      <c r="L15" s="116"/>
      <c r="M15" s="117">
        <f t="shared" si="18"/>
        <v>0</v>
      </c>
      <c r="N15" s="116"/>
      <c r="O15" s="117">
        <f t="shared" si="19"/>
        <v>0</v>
      </c>
      <c r="P15" s="116"/>
      <c r="Q15" s="117">
        <f t="shared" si="20"/>
        <v>0</v>
      </c>
      <c r="R15" s="116"/>
      <c r="S15" s="117">
        <f t="shared" si="21"/>
        <v>0</v>
      </c>
      <c r="T15" s="116"/>
      <c r="U15" s="117"/>
      <c r="V15" s="116"/>
      <c r="W15" s="117">
        <f t="shared" si="22"/>
        <v>0</v>
      </c>
      <c r="X15" s="116"/>
      <c r="Y15" s="117"/>
      <c r="Z15" s="116"/>
      <c r="AA15" s="117">
        <f t="shared" si="23"/>
        <v>0</v>
      </c>
      <c r="AB15" s="116"/>
      <c r="AC15" s="117"/>
      <c r="AD15" s="116"/>
      <c r="AE15" s="117">
        <f t="shared" si="24"/>
        <v>0</v>
      </c>
      <c r="AF15" s="116"/>
      <c r="AG15" s="118"/>
      <c r="AH15" s="217"/>
      <c r="AI15" s="220"/>
      <c r="AJ15" s="220"/>
      <c r="AK15" s="150">
        <f t="shared" si="8"/>
        <v>1</v>
      </c>
      <c r="AL15" s="119">
        <f t="shared" si="8"/>
        <v>1916551.84</v>
      </c>
      <c r="AM15" s="120">
        <f t="shared" si="10"/>
        <v>1</v>
      </c>
      <c r="AN15" s="120">
        <v>1</v>
      </c>
      <c r="AO15" s="164">
        <f t="shared" si="11"/>
        <v>0</v>
      </c>
      <c r="AP15" s="150">
        <v>1</v>
      </c>
      <c r="AQ15" s="119">
        <f t="shared" si="12"/>
        <v>1916551.84</v>
      </c>
      <c r="AR15" s="150">
        <f t="shared" si="9"/>
        <v>0</v>
      </c>
      <c r="AS15" s="165">
        <f t="shared" si="13"/>
        <v>0</v>
      </c>
      <c r="AT15" s="181"/>
      <c r="AU15" s="167">
        <f t="shared" si="14"/>
        <v>0</v>
      </c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</row>
    <row r="16" spans="1:59" s="122" customFormat="1" ht="15" customHeight="1">
      <c r="A16" s="113">
        <v>3</v>
      </c>
      <c r="B16" s="114" t="s">
        <v>36</v>
      </c>
      <c r="C16" s="115"/>
      <c r="D16" s="116">
        <v>0.1</v>
      </c>
      <c r="E16" s="117">
        <f t="shared" si="15"/>
        <v>2395689.8000000003</v>
      </c>
      <c r="F16" s="116"/>
      <c r="G16" s="117">
        <f t="shared" si="16"/>
        <v>0</v>
      </c>
      <c r="H16" s="116">
        <f>80%-27%</f>
        <v>0.53</v>
      </c>
      <c r="I16" s="117">
        <f>+H16*$E16-772+49</f>
        <v>1268992.5940000003</v>
      </c>
      <c r="J16" s="116">
        <f>20%+27%</f>
        <v>0.47000000000000003</v>
      </c>
      <c r="K16" s="117">
        <f>+J16*$E16+772-49</f>
        <v>1126697.2060000002</v>
      </c>
      <c r="L16" s="116">
        <v>0.47</v>
      </c>
      <c r="M16" s="117">
        <f t="shared" si="18"/>
        <v>1125974.206</v>
      </c>
      <c r="N16" s="116"/>
      <c r="O16" s="117">
        <f t="shared" si="19"/>
        <v>0</v>
      </c>
      <c r="P16" s="116"/>
      <c r="Q16" s="117">
        <f t="shared" si="20"/>
        <v>0</v>
      </c>
      <c r="R16" s="116"/>
      <c r="S16" s="117">
        <f t="shared" si="21"/>
        <v>0</v>
      </c>
      <c r="T16" s="116"/>
      <c r="U16" s="117"/>
      <c r="V16" s="116"/>
      <c r="W16" s="117">
        <f t="shared" si="22"/>
        <v>0</v>
      </c>
      <c r="X16" s="116"/>
      <c r="Y16" s="117"/>
      <c r="Z16" s="116"/>
      <c r="AA16" s="117">
        <f t="shared" si="23"/>
        <v>0</v>
      </c>
      <c r="AB16" s="116"/>
      <c r="AC16" s="117"/>
      <c r="AD16" s="116"/>
      <c r="AE16" s="117">
        <f t="shared" si="24"/>
        <v>0</v>
      </c>
      <c r="AF16" s="116"/>
      <c r="AG16" s="118"/>
      <c r="AH16" s="217"/>
      <c r="AI16" s="220"/>
      <c r="AJ16" s="220"/>
      <c r="AK16" s="150">
        <f t="shared" si="8"/>
        <v>1</v>
      </c>
      <c r="AL16" s="119">
        <f t="shared" si="8"/>
        <v>2394966.8000000003</v>
      </c>
      <c r="AM16" s="120">
        <f t="shared" si="10"/>
        <v>1</v>
      </c>
      <c r="AN16" s="120">
        <v>1</v>
      </c>
      <c r="AO16" s="164">
        <f t="shared" si="11"/>
        <v>0</v>
      </c>
      <c r="AP16" s="150">
        <v>1</v>
      </c>
      <c r="AQ16" s="119">
        <f t="shared" si="12"/>
        <v>2395689.8000000003</v>
      </c>
      <c r="AR16" s="150">
        <f t="shared" si="9"/>
        <v>0</v>
      </c>
      <c r="AS16" s="165">
        <f t="shared" si="13"/>
        <v>0</v>
      </c>
      <c r="AT16" s="181"/>
      <c r="AU16" s="167">
        <f t="shared" si="14"/>
        <v>0</v>
      </c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</row>
    <row r="17" spans="1:59" s="122" customFormat="1" ht="15" customHeight="1">
      <c r="A17" s="113">
        <v>4</v>
      </c>
      <c r="B17" s="114" t="s">
        <v>37</v>
      </c>
      <c r="C17" s="115"/>
      <c r="D17" s="116">
        <v>0.12</v>
      </c>
      <c r="E17" s="117">
        <f t="shared" si="15"/>
        <v>2874827.76</v>
      </c>
      <c r="F17" s="116"/>
      <c r="G17" s="117">
        <f t="shared" si="16"/>
        <v>0</v>
      </c>
      <c r="H17" s="116"/>
      <c r="I17" s="117">
        <f t="shared" ref="I17:I24" si="25">+H17*$E17</f>
        <v>0</v>
      </c>
      <c r="J17" s="116">
        <v>1</v>
      </c>
      <c r="K17" s="117">
        <f t="shared" ref="K17:K183" si="26">+J17*$E17</f>
        <v>2874827.76</v>
      </c>
      <c r="L17" s="116">
        <v>1</v>
      </c>
      <c r="M17" s="117">
        <f t="shared" si="18"/>
        <v>2874827.76</v>
      </c>
      <c r="N17" s="116"/>
      <c r="O17" s="117">
        <f t="shared" si="19"/>
        <v>0</v>
      </c>
      <c r="P17" s="116"/>
      <c r="Q17" s="117">
        <f t="shared" si="20"/>
        <v>0</v>
      </c>
      <c r="R17" s="116"/>
      <c r="S17" s="117">
        <f t="shared" si="21"/>
        <v>0</v>
      </c>
      <c r="T17" s="116"/>
      <c r="U17" s="117"/>
      <c r="V17" s="116"/>
      <c r="W17" s="117">
        <f t="shared" si="22"/>
        <v>0</v>
      </c>
      <c r="X17" s="116"/>
      <c r="Y17" s="117"/>
      <c r="Z17" s="116"/>
      <c r="AA17" s="117">
        <f t="shared" si="23"/>
        <v>0</v>
      </c>
      <c r="AB17" s="116"/>
      <c r="AC17" s="117"/>
      <c r="AD17" s="116"/>
      <c r="AE17" s="117">
        <f t="shared" si="24"/>
        <v>0</v>
      </c>
      <c r="AF17" s="116"/>
      <c r="AG17" s="118"/>
      <c r="AH17" s="217"/>
      <c r="AI17" s="220"/>
      <c r="AJ17" s="220"/>
      <c r="AK17" s="150">
        <f t="shared" si="8"/>
        <v>1</v>
      </c>
      <c r="AL17" s="119">
        <f t="shared" si="8"/>
        <v>2874827.76</v>
      </c>
      <c r="AM17" s="120">
        <f t="shared" si="10"/>
        <v>1</v>
      </c>
      <c r="AN17" s="120">
        <v>1</v>
      </c>
      <c r="AO17" s="164">
        <f t="shared" si="11"/>
        <v>0</v>
      </c>
      <c r="AP17" s="150">
        <v>1</v>
      </c>
      <c r="AQ17" s="119">
        <f t="shared" si="12"/>
        <v>2874827.76</v>
      </c>
      <c r="AR17" s="150">
        <f t="shared" si="9"/>
        <v>0</v>
      </c>
      <c r="AS17" s="165">
        <f t="shared" si="13"/>
        <v>0</v>
      </c>
      <c r="AT17" s="181"/>
      <c r="AU17" s="167">
        <f t="shared" si="14"/>
        <v>0</v>
      </c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</row>
    <row r="18" spans="1:59" s="122" customFormat="1" ht="15" customHeight="1">
      <c r="A18" s="113">
        <v>5</v>
      </c>
      <c r="B18" s="114" t="s">
        <v>38</v>
      </c>
      <c r="C18" s="115"/>
      <c r="D18" s="116">
        <v>0.1</v>
      </c>
      <c r="E18" s="117">
        <f t="shared" si="15"/>
        <v>2395689.8000000003</v>
      </c>
      <c r="F18" s="116"/>
      <c r="G18" s="117">
        <f t="shared" si="16"/>
        <v>0</v>
      </c>
      <c r="H18" s="116"/>
      <c r="I18" s="117">
        <f t="shared" si="25"/>
        <v>0</v>
      </c>
      <c r="J18" s="116">
        <v>1</v>
      </c>
      <c r="K18" s="117">
        <f t="shared" si="26"/>
        <v>2395689.8000000003</v>
      </c>
      <c r="L18" s="116">
        <v>1</v>
      </c>
      <c r="M18" s="117">
        <f t="shared" si="18"/>
        <v>2395689.8000000003</v>
      </c>
      <c r="N18" s="116"/>
      <c r="O18" s="117">
        <f t="shared" si="19"/>
        <v>0</v>
      </c>
      <c r="P18" s="116"/>
      <c r="Q18" s="117">
        <f t="shared" si="20"/>
        <v>0</v>
      </c>
      <c r="R18" s="116"/>
      <c r="S18" s="117">
        <f t="shared" si="21"/>
        <v>0</v>
      </c>
      <c r="T18" s="116"/>
      <c r="U18" s="117"/>
      <c r="V18" s="116"/>
      <c r="W18" s="117">
        <f t="shared" si="22"/>
        <v>0</v>
      </c>
      <c r="X18" s="116"/>
      <c r="Y18" s="117"/>
      <c r="Z18" s="116"/>
      <c r="AA18" s="117">
        <f t="shared" si="23"/>
        <v>0</v>
      </c>
      <c r="AB18" s="116"/>
      <c r="AC18" s="117"/>
      <c r="AD18" s="116"/>
      <c r="AE18" s="117">
        <f t="shared" si="24"/>
        <v>0</v>
      </c>
      <c r="AF18" s="116"/>
      <c r="AG18" s="118"/>
      <c r="AH18" s="217"/>
      <c r="AI18" s="220"/>
      <c r="AJ18" s="220"/>
      <c r="AK18" s="150">
        <f t="shared" si="8"/>
        <v>1</v>
      </c>
      <c r="AL18" s="119">
        <f t="shared" si="8"/>
        <v>2395689.8000000003</v>
      </c>
      <c r="AM18" s="120">
        <f t="shared" si="10"/>
        <v>1</v>
      </c>
      <c r="AN18" s="120">
        <v>1</v>
      </c>
      <c r="AO18" s="164">
        <f t="shared" si="11"/>
        <v>0</v>
      </c>
      <c r="AP18" s="150">
        <v>1</v>
      </c>
      <c r="AQ18" s="119">
        <f t="shared" si="12"/>
        <v>2395689.8000000003</v>
      </c>
      <c r="AR18" s="150">
        <f t="shared" si="9"/>
        <v>0</v>
      </c>
      <c r="AS18" s="165">
        <f t="shared" si="13"/>
        <v>0</v>
      </c>
      <c r="AT18" s="181"/>
      <c r="AU18" s="167">
        <f t="shared" si="14"/>
        <v>0</v>
      </c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</row>
    <row r="19" spans="1:59" s="122" customFormat="1" ht="15" customHeight="1">
      <c r="A19" s="113">
        <v>6</v>
      </c>
      <c r="B19" s="114" t="s">
        <v>39</v>
      </c>
      <c r="C19" s="115"/>
      <c r="D19" s="116">
        <v>0.1</v>
      </c>
      <c r="E19" s="117">
        <f t="shared" si="15"/>
        <v>2395689.8000000003</v>
      </c>
      <c r="F19" s="116"/>
      <c r="G19" s="117">
        <f t="shared" si="16"/>
        <v>0</v>
      </c>
      <c r="H19" s="116"/>
      <c r="I19" s="117">
        <f t="shared" si="25"/>
        <v>0</v>
      </c>
      <c r="J19" s="116">
        <v>0.5</v>
      </c>
      <c r="K19" s="117">
        <f t="shared" si="26"/>
        <v>1197844.9000000001</v>
      </c>
      <c r="L19" s="116">
        <v>0.5</v>
      </c>
      <c r="M19" s="117">
        <f t="shared" si="18"/>
        <v>1197844.9000000001</v>
      </c>
      <c r="N19" s="116">
        <v>0.5</v>
      </c>
      <c r="O19" s="117">
        <f t="shared" si="19"/>
        <v>1197844.9000000001</v>
      </c>
      <c r="P19" s="116">
        <v>0.5</v>
      </c>
      <c r="Q19" s="117">
        <f t="shared" si="20"/>
        <v>1197844.9000000001</v>
      </c>
      <c r="R19" s="116"/>
      <c r="S19" s="117">
        <f t="shared" si="21"/>
        <v>0</v>
      </c>
      <c r="T19" s="116"/>
      <c r="U19" s="117"/>
      <c r="V19" s="116"/>
      <c r="W19" s="117">
        <f t="shared" si="22"/>
        <v>0</v>
      </c>
      <c r="X19" s="116"/>
      <c r="Y19" s="117"/>
      <c r="Z19" s="116"/>
      <c r="AA19" s="117">
        <f t="shared" si="23"/>
        <v>0</v>
      </c>
      <c r="AB19" s="116"/>
      <c r="AC19" s="117"/>
      <c r="AD19" s="116"/>
      <c r="AE19" s="117">
        <f t="shared" si="24"/>
        <v>0</v>
      </c>
      <c r="AF19" s="116"/>
      <c r="AG19" s="118"/>
      <c r="AH19" s="217"/>
      <c r="AI19" s="220"/>
      <c r="AJ19" s="220"/>
      <c r="AK19" s="150">
        <f t="shared" si="8"/>
        <v>1</v>
      </c>
      <c r="AL19" s="119">
        <f t="shared" si="8"/>
        <v>2395689.8000000003</v>
      </c>
      <c r="AM19" s="120">
        <f t="shared" si="10"/>
        <v>1</v>
      </c>
      <c r="AN19" s="120">
        <v>1</v>
      </c>
      <c r="AO19" s="164">
        <f t="shared" si="11"/>
        <v>0</v>
      </c>
      <c r="AP19" s="150">
        <v>1</v>
      </c>
      <c r="AQ19" s="119">
        <f t="shared" si="12"/>
        <v>2395689.8000000003</v>
      </c>
      <c r="AR19" s="150">
        <f t="shared" si="9"/>
        <v>0</v>
      </c>
      <c r="AS19" s="165">
        <f t="shared" si="13"/>
        <v>0</v>
      </c>
      <c r="AT19" s="181"/>
      <c r="AU19" s="167">
        <f t="shared" si="14"/>
        <v>0</v>
      </c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</row>
    <row r="20" spans="1:59" s="122" customFormat="1" ht="15" customHeight="1">
      <c r="A20" s="113">
        <v>7</v>
      </c>
      <c r="B20" s="114" t="s">
        <v>40</v>
      </c>
      <c r="C20" s="115"/>
      <c r="D20" s="116">
        <v>0.15</v>
      </c>
      <c r="E20" s="117">
        <f t="shared" si="15"/>
        <v>3593534.6999999997</v>
      </c>
      <c r="F20" s="116"/>
      <c r="G20" s="117">
        <f t="shared" si="16"/>
        <v>0</v>
      </c>
      <c r="H20" s="116"/>
      <c r="I20" s="117">
        <f t="shared" si="25"/>
        <v>0</v>
      </c>
      <c r="J20" s="116"/>
      <c r="K20" s="117">
        <f t="shared" si="26"/>
        <v>0</v>
      </c>
      <c r="L20" s="116"/>
      <c r="M20" s="117">
        <f t="shared" si="18"/>
        <v>0</v>
      </c>
      <c r="N20" s="116">
        <v>1</v>
      </c>
      <c r="O20" s="117">
        <f t="shared" si="19"/>
        <v>3593534.6999999997</v>
      </c>
      <c r="P20" s="116">
        <v>1</v>
      </c>
      <c r="Q20" s="117">
        <f t="shared" si="20"/>
        <v>3593534.6999999997</v>
      </c>
      <c r="R20" s="116"/>
      <c r="S20" s="117">
        <f t="shared" si="21"/>
        <v>0</v>
      </c>
      <c r="T20" s="116"/>
      <c r="U20" s="117"/>
      <c r="V20" s="116"/>
      <c r="W20" s="117">
        <f t="shared" si="22"/>
        <v>0</v>
      </c>
      <c r="X20" s="116"/>
      <c r="Y20" s="117"/>
      <c r="Z20" s="116"/>
      <c r="AA20" s="117">
        <f t="shared" si="23"/>
        <v>0</v>
      </c>
      <c r="AB20" s="116"/>
      <c r="AC20" s="117"/>
      <c r="AD20" s="116"/>
      <c r="AE20" s="117">
        <f t="shared" si="24"/>
        <v>0</v>
      </c>
      <c r="AF20" s="116"/>
      <c r="AG20" s="118"/>
      <c r="AH20" s="217"/>
      <c r="AI20" s="220"/>
      <c r="AJ20" s="220"/>
      <c r="AK20" s="150">
        <f t="shared" si="8"/>
        <v>1</v>
      </c>
      <c r="AL20" s="119">
        <f t="shared" si="8"/>
        <v>3593534.6999999997</v>
      </c>
      <c r="AM20" s="120">
        <f t="shared" si="10"/>
        <v>1</v>
      </c>
      <c r="AN20" s="120">
        <v>1</v>
      </c>
      <c r="AO20" s="164">
        <f t="shared" si="11"/>
        <v>0</v>
      </c>
      <c r="AP20" s="150">
        <v>1</v>
      </c>
      <c r="AQ20" s="119">
        <f t="shared" si="12"/>
        <v>3593534.6999999997</v>
      </c>
      <c r="AR20" s="150">
        <f t="shared" si="9"/>
        <v>0</v>
      </c>
      <c r="AS20" s="165">
        <f t="shared" si="13"/>
        <v>0</v>
      </c>
      <c r="AT20" s="181"/>
      <c r="AU20" s="167">
        <f t="shared" si="14"/>
        <v>0</v>
      </c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</row>
    <row r="21" spans="1:59" s="122" customFormat="1" ht="15" customHeight="1">
      <c r="A21" s="113">
        <v>8</v>
      </c>
      <c r="B21" s="114" t="s">
        <v>41</v>
      </c>
      <c r="C21" s="115"/>
      <c r="D21" s="116">
        <v>0.11</v>
      </c>
      <c r="E21" s="117">
        <f t="shared" si="15"/>
        <v>2635258.7799999998</v>
      </c>
      <c r="F21" s="116"/>
      <c r="G21" s="117">
        <f t="shared" si="16"/>
        <v>0</v>
      </c>
      <c r="H21" s="116"/>
      <c r="I21" s="117">
        <f t="shared" si="25"/>
        <v>0</v>
      </c>
      <c r="J21" s="116"/>
      <c r="K21" s="117">
        <f t="shared" si="26"/>
        <v>0</v>
      </c>
      <c r="L21" s="116"/>
      <c r="M21" s="117">
        <f t="shared" si="18"/>
        <v>0</v>
      </c>
      <c r="N21" s="116"/>
      <c r="O21" s="117">
        <f t="shared" si="19"/>
        <v>0</v>
      </c>
      <c r="P21" s="116"/>
      <c r="Q21" s="117">
        <f t="shared" si="20"/>
        <v>0</v>
      </c>
      <c r="R21" s="116">
        <v>1</v>
      </c>
      <c r="S21" s="117">
        <f t="shared" si="21"/>
        <v>2635258.7799999998</v>
      </c>
      <c r="T21" s="123">
        <v>1</v>
      </c>
      <c r="U21" s="117">
        <f t="shared" ref="U21:U275" si="27">T21*E21</f>
        <v>2635258.7799999998</v>
      </c>
      <c r="V21" s="116"/>
      <c r="W21" s="117">
        <f t="shared" si="22"/>
        <v>0</v>
      </c>
      <c r="X21" s="116"/>
      <c r="Y21" s="117"/>
      <c r="Z21" s="116"/>
      <c r="AA21" s="117">
        <f t="shared" si="23"/>
        <v>0</v>
      </c>
      <c r="AB21" s="116"/>
      <c r="AC21" s="117"/>
      <c r="AD21" s="116"/>
      <c r="AE21" s="117">
        <f t="shared" si="24"/>
        <v>0</v>
      </c>
      <c r="AF21" s="116"/>
      <c r="AG21" s="118"/>
      <c r="AH21" s="217"/>
      <c r="AI21" s="220"/>
      <c r="AJ21" s="220"/>
      <c r="AK21" s="150">
        <f t="shared" si="8"/>
        <v>1</v>
      </c>
      <c r="AL21" s="119">
        <f t="shared" si="8"/>
        <v>2635258.7799999998</v>
      </c>
      <c r="AM21" s="120">
        <f t="shared" si="10"/>
        <v>1</v>
      </c>
      <c r="AN21" s="120">
        <v>0.66</v>
      </c>
      <c r="AO21" s="164">
        <f t="shared" si="11"/>
        <v>0.33999999999999997</v>
      </c>
      <c r="AP21" s="150">
        <v>0.66100000000000003</v>
      </c>
      <c r="AQ21" s="119">
        <f t="shared" si="12"/>
        <v>1741906.0535800001</v>
      </c>
      <c r="AR21" s="150">
        <v>0</v>
      </c>
      <c r="AS21" s="165">
        <f t="shared" si="13"/>
        <v>0</v>
      </c>
      <c r="AT21" s="181">
        <f>100%-AK21</f>
        <v>0</v>
      </c>
      <c r="AU21" s="167">
        <f t="shared" si="14"/>
        <v>0</v>
      </c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</row>
    <row r="22" spans="1:59" s="122" customFormat="1" ht="15" customHeight="1">
      <c r="A22" s="113">
        <v>9</v>
      </c>
      <c r="B22" s="114" t="s">
        <v>42</v>
      </c>
      <c r="C22" s="115"/>
      <c r="D22" s="116">
        <v>0.1</v>
      </c>
      <c r="E22" s="117">
        <f t="shared" si="15"/>
        <v>2395689.8000000003</v>
      </c>
      <c r="F22" s="116"/>
      <c r="G22" s="117">
        <f t="shared" si="16"/>
        <v>0</v>
      </c>
      <c r="H22" s="116"/>
      <c r="I22" s="117">
        <f t="shared" si="25"/>
        <v>0</v>
      </c>
      <c r="J22" s="116"/>
      <c r="K22" s="117">
        <f t="shared" si="26"/>
        <v>0</v>
      </c>
      <c r="L22" s="116"/>
      <c r="M22" s="117">
        <f t="shared" si="18"/>
        <v>0</v>
      </c>
      <c r="N22" s="116"/>
      <c r="O22" s="117">
        <f t="shared" si="19"/>
        <v>0</v>
      </c>
      <c r="P22" s="116"/>
      <c r="Q22" s="117">
        <f t="shared" si="20"/>
        <v>0</v>
      </c>
      <c r="R22" s="116">
        <v>0.2</v>
      </c>
      <c r="S22" s="117">
        <f t="shared" si="21"/>
        <v>479137.96000000008</v>
      </c>
      <c r="T22" s="116"/>
      <c r="U22" s="117">
        <f t="shared" si="27"/>
        <v>0</v>
      </c>
      <c r="V22" s="116">
        <v>0.6</v>
      </c>
      <c r="W22" s="117">
        <f t="shared" si="22"/>
        <v>1437413.8800000001</v>
      </c>
      <c r="X22" s="116"/>
      <c r="Y22" s="117">
        <f t="shared" ref="Y22:Y120" si="28">X22*E22</f>
        <v>0</v>
      </c>
      <c r="Z22" s="116">
        <v>0.2</v>
      </c>
      <c r="AA22" s="117">
        <f t="shared" si="23"/>
        <v>479137.96000000008</v>
      </c>
      <c r="AB22" s="116"/>
      <c r="AC22" s="117">
        <f t="shared" ref="AC22:AC271" si="29">AB22*E22</f>
        <v>0</v>
      </c>
      <c r="AD22" s="116"/>
      <c r="AE22" s="117">
        <f t="shared" si="24"/>
        <v>0</v>
      </c>
      <c r="AF22" s="116"/>
      <c r="AG22" s="118"/>
      <c r="AH22" s="217"/>
      <c r="AI22" s="220"/>
      <c r="AJ22" s="220"/>
      <c r="AK22" s="150">
        <f t="shared" si="8"/>
        <v>0</v>
      </c>
      <c r="AL22" s="119">
        <f t="shared" si="8"/>
        <v>0</v>
      </c>
      <c r="AM22" s="120">
        <f t="shared" si="10"/>
        <v>0</v>
      </c>
      <c r="AN22" s="120">
        <v>0</v>
      </c>
      <c r="AO22" s="164">
        <f t="shared" si="11"/>
        <v>0</v>
      </c>
      <c r="AP22" s="150">
        <v>0</v>
      </c>
      <c r="AQ22" s="119">
        <f t="shared" si="12"/>
        <v>0</v>
      </c>
      <c r="AR22" s="150">
        <f t="shared" si="9"/>
        <v>0</v>
      </c>
      <c r="AS22" s="165">
        <f t="shared" si="13"/>
        <v>0</v>
      </c>
      <c r="AT22" s="181"/>
      <c r="AU22" s="167">
        <f t="shared" si="14"/>
        <v>0</v>
      </c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</row>
    <row r="23" spans="1:59" s="122" customFormat="1" ht="15" customHeight="1">
      <c r="A23" s="113">
        <v>10</v>
      </c>
      <c r="B23" s="114" t="s">
        <v>43</v>
      </c>
      <c r="C23" s="115"/>
      <c r="D23" s="116">
        <v>7.0000000000000007E-2</v>
      </c>
      <c r="E23" s="117">
        <f t="shared" si="15"/>
        <v>1676982.86</v>
      </c>
      <c r="F23" s="116"/>
      <c r="G23" s="117">
        <f t="shared" si="16"/>
        <v>0</v>
      </c>
      <c r="H23" s="116"/>
      <c r="I23" s="117">
        <f t="shared" si="25"/>
        <v>0</v>
      </c>
      <c r="J23" s="116"/>
      <c r="K23" s="117">
        <f t="shared" si="26"/>
        <v>0</v>
      </c>
      <c r="L23" s="116"/>
      <c r="M23" s="117">
        <f t="shared" si="18"/>
        <v>0</v>
      </c>
      <c r="N23" s="116"/>
      <c r="O23" s="117">
        <f t="shared" si="19"/>
        <v>0</v>
      </c>
      <c r="P23" s="116"/>
      <c r="Q23" s="117">
        <f t="shared" si="20"/>
        <v>0</v>
      </c>
      <c r="R23" s="116"/>
      <c r="S23" s="117">
        <f t="shared" si="21"/>
        <v>0</v>
      </c>
      <c r="T23" s="116"/>
      <c r="U23" s="117">
        <f t="shared" si="27"/>
        <v>0</v>
      </c>
      <c r="V23" s="116">
        <v>0.32</v>
      </c>
      <c r="W23" s="117">
        <f t="shared" si="22"/>
        <v>536634.51520000002</v>
      </c>
      <c r="X23" s="116"/>
      <c r="Y23" s="117">
        <f t="shared" si="28"/>
        <v>0</v>
      </c>
      <c r="Z23" s="116">
        <v>0.68</v>
      </c>
      <c r="AA23" s="117">
        <f t="shared" si="23"/>
        <v>1140348.3448000001</v>
      </c>
      <c r="AB23" s="116"/>
      <c r="AC23" s="117">
        <f t="shared" si="29"/>
        <v>0</v>
      </c>
      <c r="AD23" s="116"/>
      <c r="AE23" s="117">
        <f t="shared" si="24"/>
        <v>0</v>
      </c>
      <c r="AF23" s="116"/>
      <c r="AG23" s="118"/>
      <c r="AH23" s="217"/>
      <c r="AI23" s="220"/>
      <c r="AJ23" s="220"/>
      <c r="AK23" s="150">
        <f t="shared" si="8"/>
        <v>0</v>
      </c>
      <c r="AL23" s="119">
        <f t="shared" si="8"/>
        <v>0</v>
      </c>
      <c r="AM23" s="120">
        <f t="shared" si="10"/>
        <v>0</v>
      </c>
      <c r="AN23" s="120">
        <v>0</v>
      </c>
      <c r="AO23" s="164">
        <f t="shared" si="11"/>
        <v>0</v>
      </c>
      <c r="AP23" s="150">
        <v>0</v>
      </c>
      <c r="AQ23" s="119">
        <f t="shared" si="12"/>
        <v>0</v>
      </c>
      <c r="AR23" s="150">
        <f t="shared" si="9"/>
        <v>0</v>
      </c>
      <c r="AS23" s="165">
        <f t="shared" si="13"/>
        <v>0</v>
      </c>
      <c r="AT23" s="181"/>
      <c r="AU23" s="167">
        <f t="shared" si="14"/>
        <v>0</v>
      </c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</row>
    <row r="24" spans="1:59" s="122" customFormat="1" ht="15" customHeight="1">
      <c r="A24" s="113">
        <v>13</v>
      </c>
      <c r="B24" s="114" t="s">
        <v>44</v>
      </c>
      <c r="C24" s="115"/>
      <c r="D24" s="116">
        <v>0.05</v>
      </c>
      <c r="E24" s="117">
        <f t="shared" si="15"/>
        <v>1197844.9000000001</v>
      </c>
      <c r="F24" s="116"/>
      <c r="G24" s="117">
        <f t="shared" si="16"/>
        <v>0</v>
      </c>
      <c r="H24" s="116"/>
      <c r="I24" s="117">
        <f t="shared" si="25"/>
        <v>0</v>
      </c>
      <c r="J24" s="116"/>
      <c r="K24" s="117">
        <f t="shared" si="26"/>
        <v>0</v>
      </c>
      <c r="L24" s="116"/>
      <c r="M24" s="117">
        <f t="shared" si="18"/>
        <v>0</v>
      </c>
      <c r="N24" s="116"/>
      <c r="O24" s="117">
        <f t="shared" si="19"/>
        <v>0</v>
      </c>
      <c r="P24" s="116"/>
      <c r="Q24" s="117">
        <f t="shared" si="20"/>
        <v>0</v>
      </c>
      <c r="R24" s="116"/>
      <c r="S24" s="117">
        <f t="shared" si="21"/>
        <v>0</v>
      </c>
      <c r="T24" s="116"/>
      <c r="U24" s="117">
        <f t="shared" si="27"/>
        <v>0</v>
      </c>
      <c r="V24" s="116"/>
      <c r="W24" s="117">
        <f t="shared" si="22"/>
        <v>0</v>
      </c>
      <c r="X24" s="116"/>
      <c r="Y24" s="117">
        <f t="shared" si="28"/>
        <v>0</v>
      </c>
      <c r="Z24" s="116"/>
      <c r="AA24" s="117">
        <f t="shared" si="23"/>
        <v>0</v>
      </c>
      <c r="AB24" s="116"/>
      <c r="AC24" s="117">
        <f t="shared" si="29"/>
        <v>0</v>
      </c>
      <c r="AD24" s="116">
        <v>1</v>
      </c>
      <c r="AE24" s="117">
        <f t="shared" si="24"/>
        <v>1197844.9000000001</v>
      </c>
      <c r="AF24" s="116"/>
      <c r="AG24" s="118">
        <f>AF24*E24</f>
        <v>0</v>
      </c>
      <c r="AH24" s="218"/>
      <c r="AI24" s="221"/>
      <c r="AJ24" s="221"/>
      <c r="AK24" s="150">
        <f t="shared" ref="AK24:AL39" si="30">F24+H24+L24+P24+T24+X24+AB24+AF24</f>
        <v>0</v>
      </c>
      <c r="AL24" s="119">
        <f t="shared" si="30"/>
        <v>0</v>
      </c>
      <c r="AM24" s="120">
        <f t="shared" si="10"/>
        <v>0</v>
      </c>
      <c r="AN24" s="120">
        <v>0</v>
      </c>
      <c r="AO24" s="164">
        <f t="shared" si="11"/>
        <v>0</v>
      </c>
      <c r="AP24" s="150">
        <v>0</v>
      </c>
      <c r="AQ24" s="119">
        <f t="shared" si="12"/>
        <v>0</v>
      </c>
      <c r="AR24" s="150">
        <f t="shared" si="9"/>
        <v>0</v>
      </c>
      <c r="AS24" s="165">
        <f t="shared" si="13"/>
        <v>0</v>
      </c>
      <c r="AT24" s="166"/>
      <c r="AU24" s="167">
        <f t="shared" si="14"/>
        <v>0</v>
      </c>
      <c r="AV24" s="124"/>
      <c r="AW24" s="124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</row>
    <row r="25" spans="1:59" ht="15" customHeight="1">
      <c r="A25" s="74" t="s">
        <v>45</v>
      </c>
      <c r="B25" s="75" t="s">
        <v>46</v>
      </c>
      <c r="C25" s="76">
        <f>4791380/2</f>
        <v>2395690</v>
      </c>
      <c r="D25" s="77"/>
      <c r="E25" s="78"/>
      <c r="F25" s="79"/>
      <c r="G25" s="80">
        <f t="shared" si="16"/>
        <v>0</v>
      </c>
      <c r="H25" s="79"/>
      <c r="I25" s="79"/>
      <c r="J25" s="80"/>
      <c r="K25" s="80">
        <f t="shared" si="26"/>
        <v>0</v>
      </c>
      <c r="L25" s="79"/>
      <c r="M25" s="79"/>
      <c r="N25" s="80"/>
      <c r="O25" s="80">
        <f t="shared" si="19"/>
        <v>0</v>
      </c>
      <c r="P25" s="79"/>
      <c r="Q25" s="80">
        <f t="shared" si="20"/>
        <v>0</v>
      </c>
      <c r="R25" s="80"/>
      <c r="S25" s="80">
        <f t="shared" si="21"/>
        <v>0</v>
      </c>
      <c r="T25" s="79"/>
      <c r="U25" s="80">
        <f t="shared" si="27"/>
        <v>0</v>
      </c>
      <c r="V25" s="80"/>
      <c r="W25" s="80">
        <f t="shared" si="22"/>
        <v>0</v>
      </c>
      <c r="X25" s="79"/>
      <c r="Y25" s="80">
        <f t="shared" si="28"/>
        <v>0</v>
      </c>
      <c r="Z25" s="80"/>
      <c r="AA25" s="80">
        <f t="shared" si="23"/>
        <v>0</v>
      </c>
      <c r="AB25" s="79"/>
      <c r="AC25" s="80">
        <f t="shared" si="29"/>
        <v>0</v>
      </c>
      <c r="AD25" s="80"/>
      <c r="AE25" s="80">
        <f t="shared" si="24"/>
        <v>0</v>
      </c>
      <c r="AF25" s="79"/>
      <c r="AG25" s="81"/>
      <c r="AH25" s="216">
        <f>SUM(E26:E33)</f>
        <v>2395690</v>
      </c>
      <c r="AI25" s="219">
        <f>SUM(M26:M33)+SUM(G26:G33)+SUM(AG26:AG33)+SUM(Q26:Q33)+SUM(U26:U33)</f>
        <v>2275905.5</v>
      </c>
      <c r="AJ25" s="222">
        <f>AI25/AH25</f>
        <v>0.95</v>
      </c>
      <c r="AK25" s="17">
        <f t="shared" si="30"/>
        <v>0</v>
      </c>
      <c r="AL25" s="23">
        <f t="shared" si="30"/>
        <v>0</v>
      </c>
      <c r="AM25" s="4">
        <f t="shared" si="10"/>
        <v>0</v>
      </c>
      <c r="AN25" s="4">
        <v>0</v>
      </c>
      <c r="AO25" s="136">
        <f t="shared" si="11"/>
        <v>0</v>
      </c>
      <c r="AP25" s="17">
        <v>0</v>
      </c>
      <c r="AQ25" s="23">
        <f t="shared" si="12"/>
        <v>0</v>
      </c>
      <c r="AR25" s="17">
        <f t="shared" si="9"/>
        <v>0</v>
      </c>
      <c r="AS25" s="141">
        <f t="shared" si="13"/>
        <v>0</v>
      </c>
      <c r="AT25" s="158"/>
      <c r="AU25" s="146">
        <f t="shared" si="14"/>
        <v>0</v>
      </c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</row>
    <row r="26" spans="1:59" s="122" customFormat="1" ht="15" customHeight="1">
      <c r="A26" s="113">
        <v>1</v>
      </c>
      <c r="B26" s="114" t="s">
        <v>34</v>
      </c>
      <c r="C26" s="115"/>
      <c r="D26" s="116">
        <v>0.02</v>
      </c>
      <c r="E26" s="117">
        <f t="shared" ref="E26:E33" si="31">+D26*$C$25</f>
        <v>47913.8</v>
      </c>
      <c r="F26" s="116">
        <v>1</v>
      </c>
      <c r="G26" s="117">
        <f t="shared" si="16"/>
        <v>47913.8</v>
      </c>
      <c r="H26" s="116"/>
      <c r="I26" s="117"/>
      <c r="J26" s="116"/>
      <c r="K26" s="117">
        <f t="shared" si="26"/>
        <v>0</v>
      </c>
      <c r="L26" s="116"/>
      <c r="M26" s="117">
        <f t="shared" ref="M26:M262" si="32">L26*E26</f>
        <v>0</v>
      </c>
      <c r="N26" s="116"/>
      <c r="O26" s="117">
        <f t="shared" si="19"/>
        <v>0</v>
      </c>
      <c r="P26" s="116"/>
      <c r="Q26" s="117">
        <f t="shared" si="20"/>
        <v>0</v>
      </c>
      <c r="R26" s="116"/>
      <c r="S26" s="117">
        <f t="shared" si="21"/>
        <v>0</v>
      </c>
      <c r="T26" s="116"/>
      <c r="U26" s="117">
        <f t="shared" si="27"/>
        <v>0</v>
      </c>
      <c r="V26" s="116"/>
      <c r="W26" s="117">
        <f t="shared" si="22"/>
        <v>0</v>
      </c>
      <c r="X26" s="116"/>
      <c r="Y26" s="117">
        <f t="shared" si="28"/>
        <v>0</v>
      </c>
      <c r="Z26" s="116"/>
      <c r="AA26" s="117">
        <f t="shared" si="23"/>
        <v>0</v>
      </c>
      <c r="AB26" s="116"/>
      <c r="AC26" s="117">
        <f t="shared" si="29"/>
        <v>0</v>
      </c>
      <c r="AD26" s="116"/>
      <c r="AE26" s="117">
        <f t="shared" si="24"/>
        <v>0</v>
      </c>
      <c r="AF26" s="116"/>
      <c r="AG26" s="118">
        <f t="shared" ref="AG26:AG280" si="33">AF26*E26</f>
        <v>0</v>
      </c>
      <c r="AH26" s="217"/>
      <c r="AI26" s="220"/>
      <c r="AJ26" s="220"/>
      <c r="AK26" s="150">
        <f t="shared" si="30"/>
        <v>1</v>
      </c>
      <c r="AL26" s="119">
        <f t="shared" si="30"/>
        <v>47913.8</v>
      </c>
      <c r="AM26" s="120">
        <f t="shared" si="10"/>
        <v>1</v>
      </c>
      <c r="AN26" s="120">
        <v>1</v>
      </c>
      <c r="AO26" s="164">
        <f t="shared" si="11"/>
        <v>0</v>
      </c>
      <c r="AP26" s="150">
        <v>1</v>
      </c>
      <c r="AQ26" s="119">
        <f t="shared" si="12"/>
        <v>47913.8</v>
      </c>
      <c r="AR26" s="150">
        <f t="shared" si="9"/>
        <v>0</v>
      </c>
      <c r="AS26" s="165">
        <f t="shared" si="13"/>
        <v>0</v>
      </c>
      <c r="AT26" s="181"/>
      <c r="AU26" s="167">
        <f t="shared" si="14"/>
        <v>0</v>
      </c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</row>
    <row r="27" spans="1:59" s="122" customFormat="1" ht="15" customHeight="1">
      <c r="A27" s="113">
        <v>2</v>
      </c>
      <c r="B27" s="114" t="s">
        <v>47</v>
      </c>
      <c r="C27" s="115"/>
      <c r="D27" s="116">
        <v>0.13</v>
      </c>
      <c r="E27" s="117">
        <f t="shared" si="31"/>
        <v>311439.7</v>
      </c>
      <c r="F27" s="116"/>
      <c r="G27" s="117">
        <f t="shared" si="16"/>
        <v>0</v>
      </c>
      <c r="H27" s="116"/>
      <c r="I27" s="117"/>
      <c r="J27" s="116">
        <v>1</v>
      </c>
      <c r="K27" s="117">
        <f t="shared" si="26"/>
        <v>311439.7</v>
      </c>
      <c r="L27" s="116">
        <v>1</v>
      </c>
      <c r="M27" s="117">
        <f t="shared" si="32"/>
        <v>311439.7</v>
      </c>
      <c r="N27" s="116"/>
      <c r="O27" s="117">
        <f t="shared" si="19"/>
        <v>0</v>
      </c>
      <c r="P27" s="116"/>
      <c r="Q27" s="117">
        <f t="shared" si="20"/>
        <v>0</v>
      </c>
      <c r="R27" s="116"/>
      <c r="S27" s="117">
        <f t="shared" si="21"/>
        <v>0</v>
      </c>
      <c r="T27" s="116"/>
      <c r="U27" s="117">
        <f t="shared" si="27"/>
        <v>0</v>
      </c>
      <c r="V27" s="116"/>
      <c r="W27" s="117">
        <f t="shared" si="22"/>
        <v>0</v>
      </c>
      <c r="X27" s="116"/>
      <c r="Y27" s="117">
        <f t="shared" si="28"/>
        <v>0</v>
      </c>
      <c r="Z27" s="116"/>
      <c r="AA27" s="117">
        <f t="shared" si="23"/>
        <v>0</v>
      </c>
      <c r="AB27" s="116"/>
      <c r="AC27" s="117">
        <f t="shared" si="29"/>
        <v>0</v>
      </c>
      <c r="AD27" s="116"/>
      <c r="AE27" s="117">
        <f t="shared" si="24"/>
        <v>0</v>
      </c>
      <c r="AF27" s="116"/>
      <c r="AG27" s="118">
        <f t="shared" si="33"/>
        <v>0</v>
      </c>
      <c r="AH27" s="217"/>
      <c r="AI27" s="220"/>
      <c r="AJ27" s="220"/>
      <c r="AK27" s="150">
        <f t="shared" si="30"/>
        <v>1</v>
      </c>
      <c r="AL27" s="119">
        <f t="shared" si="30"/>
        <v>311439.7</v>
      </c>
      <c r="AM27" s="120">
        <f t="shared" si="10"/>
        <v>1</v>
      </c>
      <c r="AN27" s="120">
        <v>1</v>
      </c>
      <c r="AO27" s="164">
        <f t="shared" si="11"/>
        <v>0</v>
      </c>
      <c r="AP27" s="150">
        <v>1</v>
      </c>
      <c r="AQ27" s="119">
        <f t="shared" si="12"/>
        <v>311439.7</v>
      </c>
      <c r="AR27" s="150">
        <f t="shared" si="9"/>
        <v>0</v>
      </c>
      <c r="AS27" s="165">
        <f t="shared" si="13"/>
        <v>0</v>
      </c>
      <c r="AT27" s="181"/>
      <c r="AU27" s="167">
        <f t="shared" si="14"/>
        <v>0</v>
      </c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</row>
    <row r="28" spans="1:59" s="122" customFormat="1" ht="15" customHeight="1">
      <c r="A28" s="113">
        <v>3</v>
      </c>
      <c r="B28" s="114" t="s">
        <v>48</v>
      </c>
      <c r="C28" s="115"/>
      <c r="D28" s="116">
        <v>0.15</v>
      </c>
      <c r="E28" s="117">
        <f t="shared" si="31"/>
        <v>359353.5</v>
      </c>
      <c r="F28" s="116"/>
      <c r="G28" s="117">
        <f t="shared" si="16"/>
        <v>0</v>
      </c>
      <c r="H28" s="116"/>
      <c r="I28" s="117">
        <f t="shared" ref="I28:I33" si="34">+H28*$E28</f>
        <v>0</v>
      </c>
      <c r="J28" s="116">
        <v>1</v>
      </c>
      <c r="K28" s="117">
        <f t="shared" si="26"/>
        <v>359353.5</v>
      </c>
      <c r="L28" s="116">
        <v>1</v>
      </c>
      <c r="M28" s="117">
        <f t="shared" si="32"/>
        <v>359353.5</v>
      </c>
      <c r="N28" s="116"/>
      <c r="O28" s="117">
        <f t="shared" si="19"/>
        <v>0</v>
      </c>
      <c r="P28" s="116"/>
      <c r="Q28" s="117">
        <f t="shared" si="20"/>
        <v>0</v>
      </c>
      <c r="R28" s="116"/>
      <c r="S28" s="117">
        <f t="shared" si="21"/>
        <v>0</v>
      </c>
      <c r="T28" s="116"/>
      <c r="U28" s="117">
        <f t="shared" si="27"/>
        <v>0</v>
      </c>
      <c r="V28" s="116"/>
      <c r="W28" s="117">
        <f t="shared" si="22"/>
        <v>0</v>
      </c>
      <c r="X28" s="116"/>
      <c r="Y28" s="117">
        <f t="shared" si="28"/>
        <v>0</v>
      </c>
      <c r="Z28" s="116"/>
      <c r="AA28" s="117">
        <f t="shared" si="23"/>
        <v>0</v>
      </c>
      <c r="AB28" s="116"/>
      <c r="AC28" s="117">
        <f t="shared" si="29"/>
        <v>0</v>
      </c>
      <c r="AD28" s="116"/>
      <c r="AE28" s="117">
        <f t="shared" si="24"/>
        <v>0</v>
      </c>
      <c r="AF28" s="116"/>
      <c r="AG28" s="118">
        <f t="shared" si="33"/>
        <v>0</v>
      </c>
      <c r="AH28" s="217"/>
      <c r="AI28" s="220"/>
      <c r="AJ28" s="220"/>
      <c r="AK28" s="150">
        <f t="shared" si="30"/>
        <v>1</v>
      </c>
      <c r="AL28" s="119">
        <f t="shared" si="30"/>
        <v>359353.5</v>
      </c>
      <c r="AM28" s="120">
        <f t="shared" si="10"/>
        <v>1</v>
      </c>
      <c r="AN28" s="120">
        <v>1</v>
      </c>
      <c r="AO28" s="164">
        <f t="shared" si="11"/>
        <v>0</v>
      </c>
      <c r="AP28" s="150">
        <v>1</v>
      </c>
      <c r="AQ28" s="119">
        <f t="shared" si="12"/>
        <v>359353.5</v>
      </c>
      <c r="AR28" s="150">
        <f t="shared" si="9"/>
        <v>0</v>
      </c>
      <c r="AS28" s="165">
        <f t="shared" si="13"/>
        <v>0</v>
      </c>
      <c r="AT28" s="181"/>
      <c r="AU28" s="167">
        <f t="shared" si="14"/>
        <v>0</v>
      </c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</row>
    <row r="29" spans="1:59" s="122" customFormat="1" ht="15" customHeight="1">
      <c r="A29" s="113">
        <v>4</v>
      </c>
      <c r="B29" s="114" t="s">
        <v>49</v>
      </c>
      <c r="C29" s="115"/>
      <c r="D29" s="116">
        <v>0.25</v>
      </c>
      <c r="E29" s="117">
        <f t="shared" si="31"/>
        <v>598922.5</v>
      </c>
      <c r="F29" s="116"/>
      <c r="G29" s="117">
        <f t="shared" si="16"/>
        <v>0</v>
      </c>
      <c r="H29" s="116"/>
      <c r="I29" s="117">
        <f t="shared" si="34"/>
        <v>0</v>
      </c>
      <c r="J29" s="116">
        <v>1</v>
      </c>
      <c r="K29" s="117">
        <f t="shared" si="26"/>
        <v>598922.5</v>
      </c>
      <c r="L29" s="116">
        <v>1</v>
      </c>
      <c r="M29" s="117">
        <f t="shared" si="32"/>
        <v>598922.5</v>
      </c>
      <c r="N29" s="116"/>
      <c r="O29" s="117">
        <f t="shared" si="19"/>
        <v>0</v>
      </c>
      <c r="P29" s="116"/>
      <c r="Q29" s="117">
        <f t="shared" si="20"/>
        <v>0</v>
      </c>
      <c r="R29" s="116"/>
      <c r="S29" s="117">
        <f t="shared" si="21"/>
        <v>0</v>
      </c>
      <c r="T29" s="116"/>
      <c r="U29" s="117">
        <f t="shared" si="27"/>
        <v>0</v>
      </c>
      <c r="V29" s="116"/>
      <c r="W29" s="117">
        <f t="shared" si="22"/>
        <v>0</v>
      </c>
      <c r="X29" s="116"/>
      <c r="Y29" s="117">
        <f t="shared" si="28"/>
        <v>0</v>
      </c>
      <c r="Z29" s="116"/>
      <c r="AA29" s="117">
        <f t="shared" si="23"/>
        <v>0</v>
      </c>
      <c r="AB29" s="116"/>
      <c r="AC29" s="117">
        <f t="shared" si="29"/>
        <v>0</v>
      </c>
      <c r="AD29" s="116"/>
      <c r="AE29" s="117">
        <f t="shared" si="24"/>
        <v>0</v>
      </c>
      <c r="AF29" s="116"/>
      <c r="AG29" s="118">
        <f t="shared" si="33"/>
        <v>0</v>
      </c>
      <c r="AH29" s="217"/>
      <c r="AI29" s="220"/>
      <c r="AJ29" s="220"/>
      <c r="AK29" s="150">
        <f t="shared" si="30"/>
        <v>1</v>
      </c>
      <c r="AL29" s="119">
        <f t="shared" si="30"/>
        <v>598922.5</v>
      </c>
      <c r="AM29" s="120">
        <f t="shared" si="10"/>
        <v>1</v>
      </c>
      <c r="AN29" s="120">
        <v>1</v>
      </c>
      <c r="AO29" s="164">
        <f t="shared" si="11"/>
        <v>0</v>
      </c>
      <c r="AP29" s="150">
        <v>1</v>
      </c>
      <c r="AQ29" s="119">
        <f t="shared" si="12"/>
        <v>598922.5</v>
      </c>
      <c r="AR29" s="150">
        <f t="shared" si="9"/>
        <v>0</v>
      </c>
      <c r="AS29" s="165">
        <f t="shared" si="13"/>
        <v>0</v>
      </c>
      <c r="AT29" s="181"/>
      <c r="AU29" s="167">
        <f t="shared" si="14"/>
        <v>0</v>
      </c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</row>
    <row r="30" spans="1:59" s="122" customFormat="1" ht="15" customHeight="1">
      <c r="A30" s="113">
        <v>5</v>
      </c>
      <c r="B30" s="114" t="s">
        <v>42</v>
      </c>
      <c r="C30" s="115"/>
      <c r="D30" s="116">
        <v>0.15</v>
      </c>
      <c r="E30" s="117">
        <f t="shared" si="31"/>
        <v>359353.5</v>
      </c>
      <c r="F30" s="116"/>
      <c r="G30" s="117">
        <f t="shared" si="16"/>
        <v>0</v>
      </c>
      <c r="H30" s="116"/>
      <c r="I30" s="117">
        <f t="shared" si="34"/>
        <v>0</v>
      </c>
      <c r="J30" s="116"/>
      <c r="K30" s="117">
        <f t="shared" si="26"/>
        <v>0</v>
      </c>
      <c r="L30" s="116"/>
      <c r="M30" s="117">
        <f t="shared" si="32"/>
        <v>0</v>
      </c>
      <c r="N30" s="116">
        <v>1</v>
      </c>
      <c r="O30" s="117">
        <f t="shared" si="19"/>
        <v>359353.5</v>
      </c>
      <c r="P30" s="116">
        <v>1</v>
      </c>
      <c r="Q30" s="117">
        <f t="shared" si="20"/>
        <v>359353.5</v>
      </c>
      <c r="R30" s="116"/>
      <c r="S30" s="117">
        <f t="shared" si="21"/>
        <v>0</v>
      </c>
      <c r="T30" s="116"/>
      <c r="U30" s="117">
        <f t="shared" si="27"/>
        <v>0</v>
      </c>
      <c r="V30" s="116"/>
      <c r="W30" s="117">
        <f t="shared" si="22"/>
        <v>0</v>
      </c>
      <c r="X30" s="116"/>
      <c r="Y30" s="117">
        <f t="shared" si="28"/>
        <v>0</v>
      </c>
      <c r="Z30" s="116"/>
      <c r="AA30" s="117">
        <f t="shared" si="23"/>
        <v>0</v>
      </c>
      <c r="AB30" s="116"/>
      <c r="AC30" s="117">
        <f t="shared" si="29"/>
        <v>0</v>
      </c>
      <c r="AD30" s="116"/>
      <c r="AE30" s="117">
        <f t="shared" si="24"/>
        <v>0</v>
      </c>
      <c r="AF30" s="116"/>
      <c r="AG30" s="118">
        <f t="shared" si="33"/>
        <v>0</v>
      </c>
      <c r="AH30" s="217"/>
      <c r="AI30" s="220"/>
      <c r="AJ30" s="220"/>
      <c r="AK30" s="150">
        <f t="shared" si="30"/>
        <v>1</v>
      </c>
      <c r="AL30" s="119">
        <f t="shared" si="30"/>
        <v>359353.5</v>
      </c>
      <c r="AM30" s="120">
        <f t="shared" si="10"/>
        <v>1</v>
      </c>
      <c r="AN30" s="120">
        <v>1</v>
      </c>
      <c r="AO30" s="164">
        <f t="shared" si="11"/>
        <v>0</v>
      </c>
      <c r="AP30" s="150">
        <v>0.8</v>
      </c>
      <c r="AQ30" s="119">
        <f t="shared" si="12"/>
        <v>287482.8</v>
      </c>
      <c r="AR30" s="150">
        <f t="shared" si="9"/>
        <v>0.19999999999999996</v>
      </c>
      <c r="AS30" s="165">
        <f t="shared" si="13"/>
        <v>71870.699999999983</v>
      </c>
      <c r="AT30" s="181"/>
      <c r="AU30" s="167">
        <f t="shared" si="14"/>
        <v>0</v>
      </c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</row>
    <row r="31" spans="1:59" s="122" customFormat="1" ht="15" customHeight="1">
      <c r="A31" s="113">
        <v>6</v>
      </c>
      <c r="B31" s="114" t="s">
        <v>43</v>
      </c>
      <c r="C31" s="115"/>
      <c r="D31" s="116">
        <v>0.2</v>
      </c>
      <c r="E31" s="117">
        <f t="shared" si="31"/>
        <v>479138</v>
      </c>
      <c r="F31" s="116"/>
      <c r="G31" s="117">
        <f t="shared" si="16"/>
        <v>0</v>
      </c>
      <c r="H31" s="116"/>
      <c r="I31" s="117">
        <f t="shared" si="34"/>
        <v>0</v>
      </c>
      <c r="J31" s="116"/>
      <c r="K31" s="117">
        <f t="shared" si="26"/>
        <v>0</v>
      </c>
      <c r="L31" s="116"/>
      <c r="M31" s="117">
        <f t="shared" si="32"/>
        <v>0</v>
      </c>
      <c r="N31" s="116">
        <v>0.26</v>
      </c>
      <c r="O31" s="117">
        <f t="shared" si="19"/>
        <v>124575.88</v>
      </c>
      <c r="P31" s="116">
        <v>0.26</v>
      </c>
      <c r="Q31" s="117">
        <f t="shared" si="20"/>
        <v>124575.88</v>
      </c>
      <c r="R31" s="116">
        <v>0.74</v>
      </c>
      <c r="S31" s="117">
        <f t="shared" si="21"/>
        <v>354562.12</v>
      </c>
      <c r="T31" s="116">
        <v>0.74</v>
      </c>
      <c r="U31" s="117">
        <f t="shared" si="27"/>
        <v>354562.12</v>
      </c>
      <c r="V31" s="116"/>
      <c r="W31" s="117">
        <f t="shared" si="22"/>
        <v>0</v>
      </c>
      <c r="X31" s="116"/>
      <c r="Y31" s="117">
        <f t="shared" si="28"/>
        <v>0</v>
      </c>
      <c r="Z31" s="116"/>
      <c r="AA31" s="117">
        <f t="shared" si="23"/>
        <v>0</v>
      </c>
      <c r="AB31" s="116"/>
      <c r="AC31" s="117">
        <f t="shared" si="29"/>
        <v>0</v>
      </c>
      <c r="AD31" s="116"/>
      <c r="AE31" s="117">
        <f t="shared" si="24"/>
        <v>0</v>
      </c>
      <c r="AF31" s="116"/>
      <c r="AG31" s="118">
        <f t="shared" si="33"/>
        <v>0</v>
      </c>
      <c r="AH31" s="217"/>
      <c r="AI31" s="220"/>
      <c r="AJ31" s="220"/>
      <c r="AK31" s="150">
        <f t="shared" si="30"/>
        <v>1</v>
      </c>
      <c r="AL31" s="119">
        <f t="shared" si="30"/>
        <v>479138</v>
      </c>
      <c r="AM31" s="120">
        <f t="shared" si="10"/>
        <v>1</v>
      </c>
      <c r="AN31" s="120">
        <v>1</v>
      </c>
      <c r="AO31" s="164">
        <f t="shared" si="11"/>
        <v>0</v>
      </c>
      <c r="AP31" s="150">
        <v>0</v>
      </c>
      <c r="AQ31" s="119">
        <f t="shared" si="12"/>
        <v>0</v>
      </c>
      <c r="AR31" s="150">
        <f t="shared" si="9"/>
        <v>1</v>
      </c>
      <c r="AS31" s="165">
        <f t="shared" si="13"/>
        <v>479138</v>
      </c>
      <c r="AT31" s="181"/>
      <c r="AU31" s="167">
        <f t="shared" si="14"/>
        <v>0</v>
      </c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</row>
    <row r="32" spans="1:59" s="122" customFormat="1" ht="15" customHeight="1">
      <c r="A32" s="113">
        <v>7</v>
      </c>
      <c r="B32" s="114" t="s">
        <v>50</v>
      </c>
      <c r="C32" s="115"/>
      <c r="D32" s="116">
        <v>0.05</v>
      </c>
      <c r="E32" s="117">
        <f t="shared" si="31"/>
        <v>119784.5</v>
      </c>
      <c r="F32" s="116"/>
      <c r="G32" s="117">
        <f t="shared" si="16"/>
        <v>0</v>
      </c>
      <c r="H32" s="116"/>
      <c r="I32" s="117">
        <f t="shared" si="34"/>
        <v>0</v>
      </c>
      <c r="J32" s="116"/>
      <c r="K32" s="117">
        <f t="shared" si="26"/>
        <v>0</v>
      </c>
      <c r="L32" s="116"/>
      <c r="M32" s="117">
        <f t="shared" si="32"/>
        <v>0</v>
      </c>
      <c r="N32" s="116"/>
      <c r="O32" s="117">
        <f t="shared" si="19"/>
        <v>0</v>
      </c>
      <c r="P32" s="116"/>
      <c r="Q32" s="117">
        <f t="shared" si="20"/>
        <v>0</v>
      </c>
      <c r="R32" s="116">
        <v>1</v>
      </c>
      <c r="S32" s="117">
        <f t="shared" si="21"/>
        <v>119784.5</v>
      </c>
      <c r="T32" s="116">
        <v>1</v>
      </c>
      <c r="U32" s="117">
        <f t="shared" si="27"/>
        <v>119784.5</v>
      </c>
      <c r="V32" s="116"/>
      <c r="W32" s="117">
        <f t="shared" si="22"/>
        <v>0</v>
      </c>
      <c r="X32" s="116"/>
      <c r="Y32" s="117">
        <f t="shared" si="28"/>
        <v>0</v>
      </c>
      <c r="Z32" s="116"/>
      <c r="AA32" s="117">
        <f t="shared" si="23"/>
        <v>0</v>
      </c>
      <c r="AB32" s="116"/>
      <c r="AC32" s="117">
        <f t="shared" si="29"/>
        <v>0</v>
      </c>
      <c r="AD32" s="116"/>
      <c r="AE32" s="117">
        <f t="shared" si="24"/>
        <v>0</v>
      </c>
      <c r="AF32" s="116"/>
      <c r="AG32" s="118">
        <f t="shared" si="33"/>
        <v>0</v>
      </c>
      <c r="AH32" s="217"/>
      <c r="AI32" s="220"/>
      <c r="AJ32" s="220"/>
      <c r="AK32" s="150">
        <f t="shared" si="30"/>
        <v>1</v>
      </c>
      <c r="AL32" s="119">
        <f t="shared" si="30"/>
        <v>119784.5</v>
      </c>
      <c r="AM32" s="120">
        <f t="shared" si="10"/>
        <v>1</v>
      </c>
      <c r="AN32" s="120">
        <v>1</v>
      </c>
      <c r="AO32" s="164">
        <f t="shared" si="11"/>
        <v>0</v>
      </c>
      <c r="AP32" s="150">
        <v>0</v>
      </c>
      <c r="AQ32" s="119">
        <f t="shared" si="12"/>
        <v>0</v>
      </c>
      <c r="AR32" s="150">
        <f t="shared" si="9"/>
        <v>1</v>
      </c>
      <c r="AS32" s="165">
        <f t="shared" si="13"/>
        <v>119784.5</v>
      </c>
      <c r="AT32" s="181">
        <f>100%-AK32</f>
        <v>0</v>
      </c>
      <c r="AU32" s="167">
        <f t="shared" si="14"/>
        <v>0</v>
      </c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</row>
    <row r="33" spans="1:59" s="122" customFormat="1" ht="15" customHeight="1">
      <c r="A33" s="113">
        <v>8</v>
      </c>
      <c r="B33" s="114" t="s">
        <v>44</v>
      </c>
      <c r="C33" s="115"/>
      <c r="D33" s="116">
        <v>0.05</v>
      </c>
      <c r="E33" s="117">
        <f t="shared" si="31"/>
        <v>119784.5</v>
      </c>
      <c r="F33" s="116"/>
      <c r="G33" s="117">
        <f t="shared" si="16"/>
        <v>0</v>
      </c>
      <c r="H33" s="116"/>
      <c r="I33" s="117">
        <f t="shared" si="34"/>
        <v>0</v>
      </c>
      <c r="J33" s="116"/>
      <c r="K33" s="117">
        <f t="shared" si="26"/>
        <v>0</v>
      </c>
      <c r="L33" s="116"/>
      <c r="M33" s="117">
        <f t="shared" si="32"/>
        <v>0</v>
      </c>
      <c r="N33" s="116"/>
      <c r="O33" s="117">
        <f t="shared" si="19"/>
        <v>0</v>
      </c>
      <c r="P33" s="116"/>
      <c r="Q33" s="117">
        <f t="shared" si="20"/>
        <v>0</v>
      </c>
      <c r="R33" s="116"/>
      <c r="S33" s="117">
        <f t="shared" si="21"/>
        <v>0</v>
      </c>
      <c r="T33" s="116"/>
      <c r="U33" s="117">
        <f t="shared" si="27"/>
        <v>0</v>
      </c>
      <c r="V33" s="116"/>
      <c r="W33" s="117">
        <f t="shared" si="22"/>
        <v>0</v>
      </c>
      <c r="X33" s="116"/>
      <c r="Y33" s="117">
        <f t="shared" si="28"/>
        <v>0</v>
      </c>
      <c r="Z33" s="116"/>
      <c r="AA33" s="117">
        <f t="shared" si="23"/>
        <v>0</v>
      </c>
      <c r="AB33" s="116"/>
      <c r="AC33" s="117">
        <f t="shared" si="29"/>
        <v>0</v>
      </c>
      <c r="AD33" s="116">
        <v>1</v>
      </c>
      <c r="AE33" s="117">
        <f t="shared" si="24"/>
        <v>119784.5</v>
      </c>
      <c r="AF33" s="116"/>
      <c r="AG33" s="118">
        <f t="shared" si="33"/>
        <v>0</v>
      </c>
      <c r="AH33" s="218"/>
      <c r="AI33" s="221"/>
      <c r="AJ33" s="221"/>
      <c r="AK33" s="150">
        <f t="shared" si="30"/>
        <v>0</v>
      </c>
      <c r="AL33" s="119">
        <f t="shared" si="30"/>
        <v>0</v>
      </c>
      <c r="AM33" s="120">
        <f t="shared" si="10"/>
        <v>0</v>
      </c>
      <c r="AN33" s="120">
        <v>0</v>
      </c>
      <c r="AO33" s="164">
        <f t="shared" si="11"/>
        <v>0</v>
      </c>
      <c r="AP33" s="150">
        <v>0</v>
      </c>
      <c r="AQ33" s="119">
        <f t="shared" si="12"/>
        <v>0</v>
      </c>
      <c r="AR33" s="150">
        <f t="shared" si="9"/>
        <v>0</v>
      </c>
      <c r="AS33" s="165">
        <f t="shared" si="13"/>
        <v>0</v>
      </c>
      <c r="AT33" s="181"/>
      <c r="AU33" s="167">
        <f t="shared" si="14"/>
        <v>0</v>
      </c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</row>
    <row r="34" spans="1:59" ht="15" customHeight="1">
      <c r="A34" s="74" t="s">
        <v>51</v>
      </c>
      <c r="B34" s="75" t="s">
        <v>52</v>
      </c>
      <c r="C34" s="76">
        <f>4791380/2</f>
        <v>2395690</v>
      </c>
      <c r="D34" s="77"/>
      <c r="E34" s="78"/>
      <c r="F34" s="79"/>
      <c r="G34" s="80">
        <f t="shared" si="16"/>
        <v>0</v>
      </c>
      <c r="H34" s="79"/>
      <c r="I34" s="80"/>
      <c r="J34" s="80"/>
      <c r="K34" s="80">
        <f t="shared" si="26"/>
        <v>0</v>
      </c>
      <c r="L34" s="79"/>
      <c r="M34" s="80">
        <f t="shared" si="32"/>
        <v>0</v>
      </c>
      <c r="N34" s="80"/>
      <c r="O34" s="80">
        <f t="shared" si="19"/>
        <v>0</v>
      </c>
      <c r="P34" s="79"/>
      <c r="Q34" s="80">
        <f t="shared" si="20"/>
        <v>0</v>
      </c>
      <c r="R34" s="80"/>
      <c r="S34" s="80">
        <f t="shared" si="21"/>
        <v>0</v>
      </c>
      <c r="T34" s="79"/>
      <c r="U34" s="80">
        <f t="shared" si="27"/>
        <v>0</v>
      </c>
      <c r="V34" s="80"/>
      <c r="W34" s="80">
        <f t="shared" si="22"/>
        <v>0</v>
      </c>
      <c r="X34" s="79"/>
      <c r="Y34" s="80">
        <f t="shared" si="28"/>
        <v>0</v>
      </c>
      <c r="Z34" s="80"/>
      <c r="AA34" s="80">
        <f t="shared" si="23"/>
        <v>0</v>
      </c>
      <c r="AB34" s="79"/>
      <c r="AC34" s="80">
        <f t="shared" si="29"/>
        <v>0</v>
      </c>
      <c r="AD34" s="80"/>
      <c r="AE34" s="80">
        <f t="shared" si="24"/>
        <v>0</v>
      </c>
      <c r="AF34" s="79"/>
      <c r="AG34" s="81">
        <f t="shared" si="33"/>
        <v>0</v>
      </c>
      <c r="AH34" s="216">
        <f>SUM(E35:E44)</f>
        <v>2395690</v>
      </c>
      <c r="AI34" s="219">
        <f>SUM(AG35:AG44)+SUM(Q35:Q44)+SUM(G35:G44)+SUM(M35:M44)+SUM(U35:U44)</f>
        <v>2036336.5</v>
      </c>
      <c r="AJ34" s="222">
        <f>AI34/AH34</f>
        <v>0.85</v>
      </c>
      <c r="AK34" s="17">
        <f t="shared" si="30"/>
        <v>0</v>
      </c>
      <c r="AL34" s="23">
        <f t="shared" si="30"/>
        <v>0</v>
      </c>
      <c r="AM34" s="4">
        <f t="shared" si="10"/>
        <v>0</v>
      </c>
      <c r="AN34" s="4">
        <v>0</v>
      </c>
      <c r="AO34" s="136">
        <f t="shared" si="11"/>
        <v>0</v>
      </c>
      <c r="AP34" s="17">
        <v>0</v>
      </c>
      <c r="AQ34" s="23">
        <f t="shared" si="12"/>
        <v>0</v>
      </c>
      <c r="AR34" s="17">
        <f t="shared" si="9"/>
        <v>0</v>
      </c>
      <c r="AS34" s="141">
        <f t="shared" si="13"/>
        <v>0</v>
      </c>
      <c r="AT34" s="158"/>
      <c r="AU34" s="146">
        <f t="shared" si="14"/>
        <v>0</v>
      </c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</row>
    <row r="35" spans="1:59" s="122" customFormat="1" ht="15" customHeight="1">
      <c r="A35" s="113">
        <v>1</v>
      </c>
      <c r="B35" s="114" t="s">
        <v>34</v>
      </c>
      <c r="C35" s="115"/>
      <c r="D35" s="116">
        <v>0.02</v>
      </c>
      <c r="E35" s="117">
        <f t="shared" ref="E35:E44" si="35">+D35*$C$34</f>
        <v>47913.8</v>
      </c>
      <c r="F35" s="116">
        <v>1</v>
      </c>
      <c r="G35" s="117">
        <f t="shared" si="16"/>
        <v>47913.8</v>
      </c>
      <c r="H35" s="116"/>
      <c r="I35" s="117">
        <f t="shared" ref="I35:I44" si="36">+H35*$E35</f>
        <v>0</v>
      </c>
      <c r="J35" s="116"/>
      <c r="K35" s="117">
        <f t="shared" si="26"/>
        <v>0</v>
      </c>
      <c r="L35" s="116"/>
      <c r="M35" s="117">
        <f t="shared" si="32"/>
        <v>0</v>
      </c>
      <c r="N35" s="116"/>
      <c r="O35" s="117">
        <f t="shared" si="19"/>
        <v>0</v>
      </c>
      <c r="P35" s="116"/>
      <c r="Q35" s="117">
        <f t="shared" si="20"/>
        <v>0</v>
      </c>
      <c r="R35" s="116"/>
      <c r="S35" s="117">
        <f t="shared" si="21"/>
        <v>0</v>
      </c>
      <c r="T35" s="116"/>
      <c r="U35" s="117">
        <f t="shared" si="27"/>
        <v>0</v>
      </c>
      <c r="V35" s="116"/>
      <c r="W35" s="117">
        <f t="shared" si="22"/>
        <v>0</v>
      </c>
      <c r="X35" s="116"/>
      <c r="Y35" s="117">
        <f t="shared" si="28"/>
        <v>0</v>
      </c>
      <c r="Z35" s="116"/>
      <c r="AA35" s="117">
        <f t="shared" si="23"/>
        <v>0</v>
      </c>
      <c r="AB35" s="116"/>
      <c r="AC35" s="117">
        <f t="shared" si="29"/>
        <v>0</v>
      </c>
      <c r="AD35" s="116"/>
      <c r="AE35" s="117">
        <f t="shared" si="24"/>
        <v>0</v>
      </c>
      <c r="AF35" s="116"/>
      <c r="AG35" s="118">
        <f t="shared" si="33"/>
        <v>0</v>
      </c>
      <c r="AH35" s="217"/>
      <c r="AI35" s="220"/>
      <c r="AJ35" s="220"/>
      <c r="AK35" s="150">
        <f t="shared" si="30"/>
        <v>1</v>
      </c>
      <c r="AL35" s="119">
        <f t="shared" si="30"/>
        <v>47913.8</v>
      </c>
      <c r="AM35" s="120">
        <f t="shared" si="10"/>
        <v>1</v>
      </c>
      <c r="AN35" s="120">
        <v>1</v>
      </c>
      <c r="AO35" s="164">
        <f t="shared" si="11"/>
        <v>0</v>
      </c>
      <c r="AP35" s="150">
        <v>1</v>
      </c>
      <c r="AQ35" s="119">
        <f t="shared" si="12"/>
        <v>47913.8</v>
      </c>
      <c r="AR35" s="150">
        <f t="shared" si="9"/>
        <v>0</v>
      </c>
      <c r="AS35" s="165">
        <f t="shared" si="13"/>
        <v>0</v>
      </c>
      <c r="AT35" s="181"/>
      <c r="AU35" s="167">
        <f t="shared" si="14"/>
        <v>0</v>
      </c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</row>
    <row r="36" spans="1:59" s="122" customFormat="1" ht="15" customHeight="1">
      <c r="A36" s="113">
        <v>2</v>
      </c>
      <c r="B36" s="114" t="s">
        <v>47</v>
      </c>
      <c r="C36" s="115"/>
      <c r="D36" s="116">
        <v>0.08</v>
      </c>
      <c r="E36" s="117">
        <f t="shared" si="35"/>
        <v>191655.2</v>
      </c>
      <c r="F36" s="116"/>
      <c r="G36" s="117">
        <f t="shared" si="16"/>
        <v>0</v>
      </c>
      <c r="H36" s="116"/>
      <c r="I36" s="117">
        <f t="shared" si="36"/>
        <v>0</v>
      </c>
      <c r="J36" s="116">
        <v>1</v>
      </c>
      <c r="K36" s="117">
        <f t="shared" si="26"/>
        <v>191655.2</v>
      </c>
      <c r="L36" s="116">
        <v>1</v>
      </c>
      <c r="M36" s="117">
        <f t="shared" si="32"/>
        <v>191655.2</v>
      </c>
      <c r="N36" s="116"/>
      <c r="O36" s="117">
        <f t="shared" si="19"/>
        <v>0</v>
      </c>
      <c r="P36" s="116"/>
      <c r="Q36" s="117">
        <f t="shared" si="20"/>
        <v>0</v>
      </c>
      <c r="R36" s="116"/>
      <c r="S36" s="117">
        <f t="shared" si="21"/>
        <v>0</v>
      </c>
      <c r="T36" s="116"/>
      <c r="U36" s="117">
        <f t="shared" si="27"/>
        <v>0</v>
      </c>
      <c r="V36" s="116"/>
      <c r="W36" s="117">
        <f t="shared" si="22"/>
        <v>0</v>
      </c>
      <c r="X36" s="116"/>
      <c r="Y36" s="117">
        <f t="shared" si="28"/>
        <v>0</v>
      </c>
      <c r="Z36" s="116"/>
      <c r="AA36" s="117">
        <f t="shared" si="23"/>
        <v>0</v>
      </c>
      <c r="AB36" s="116"/>
      <c r="AC36" s="117">
        <f t="shared" si="29"/>
        <v>0</v>
      </c>
      <c r="AD36" s="116"/>
      <c r="AE36" s="117">
        <f t="shared" si="24"/>
        <v>0</v>
      </c>
      <c r="AF36" s="116"/>
      <c r="AG36" s="118">
        <f t="shared" si="33"/>
        <v>0</v>
      </c>
      <c r="AH36" s="217"/>
      <c r="AI36" s="220"/>
      <c r="AJ36" s="220"/>
      <c r="AK36" s="150">
        <f t="shared" si="30"/>
        <v>1</v>
      </c>
      <c r="AL36" s="119">
        <f t="shared" si="30"/>
        <v>191655.2</v>
      </c>
      <c r="AM36" s="120">
        <f t="shared" si="10"/>
        <v>1</v>
      </c>
      <c r="AN36" s="120">
        <v>1</v>
      </c>
      <c r="AO36" s="164">
        <f t="shared" si="11"/>
        <v>0</v>
      </c>
      <c r="AP36" s="150">
        <v>1</v>
      </c>
      <c r="AQ36" s="119">
        <f t="shared" si="12"/>
        <v>191655.2</v>
      </c>
      <c r="AR36" s="150">
        <f t="shared" si="9"/>
        <v>0</v>
      </c>
      <c r="AS36" s="165">
        <f t="shared" si="13"/>
        <v>0</v>
      </c>
      <c r="AT36" s="181"/>
      <c r="AU36" s="167">
        <f t="shared" si="14"/>
        <v>0</v>
      </c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</row>
    <row r="37" spans="1:59" s="122" customFormat="1" ht="15" customHeight="1">
      <c r="A37" s="113">
        <v>3</v>
      </c>
      <c r="B37" s="114" t="s">
        <v>48</v>
      </c>
      <c r="C37" s="115"/>
      <c r="D37" s="116">
        <v>0.1</v>
      </c>
      <c r="E37" s="117">
        <f t="shared" si="35"/>
        <v>239569</v>
      </c>
      <c r="F37" s="116"/>
      <c r="G37" s="117">
        <f t="shared" si="16"/>
        <v>0</v>
      </c>
      <c r="H37" s="116"/>
      <c r="I37" s="117">
        <f t="shared" si="36"/>
        <v>0</v>
      </c>
      <c r="J37" s="116">
        <v>1</v>
      </c>
      <c r="K37" s="117">
        <f t="shared" si="26"/>
        <v>239569</v>
      </c>
      <c r="L37" s="116">
        <v>1</v>
      </c>
      <c r="M37" s="117">
        <f t="shared" si="32"/>
        <v>239569</v>
      </c>
      <c r="N37" s="116"/>
      <c r="O37" s="117">
        <f t="shared" si="19"/>
        <v>0</v>
      </c>
      <c r="P37" s="116"/>
      <c r="Q37" s="117">
        <f t="shared" si="20"/>
        <v>0</v>
      </c>
      <c r="R37" s="116"/>
      <c r="S37" s="117">
        <f t="shared" si="21"/>
        <v>0</v>
      </c>
      <c r="T37" s="116"/>
      <c r="U37" s="117">
        <f t="shared" si="27"/>
        <v>0</v>
      </c>
      <c r="V37" s="116"/>
      <c r="W37" s="117">
        <f t="shared" si="22"/>
        <v>0</v>
      </c>
      <c r="X37" s="116"/>
      <c r="Y37" s="117">
        <f t="shared" si="28"/>
        <v>0</v>
      </c>
      <c r="Z37" s="116"/>
      <c r="AA37" s="117">
        <f t="shared" si="23"/>
        <v>0</v>
      </c>
      <c r="AB37" s="116"/>
      <c r="AC37" s="117">
        <f t="shared" si="29"/>
        <v>0</v>
      </c>
      <c r="AD37" s="116"/>
      <c r="AE37" s="117">
        <f t="shared" si="24"/>
        <v>0</v>
      </c>
      <c r="AF37" s="116"/>
      <c r="AG37" s="118">
        <f t="shared" si="33"/>
        <v>0</v>
      </c>
      <c r="AH37" s="217"/>
      <c r="AI37" s="220"/>
      <c r="AJ37" s="220"/>
      <c r="AK37" s="150">
        <f t="shared" si="30"/>
        <v>1</v>
      </c>
      <c r="AL37" s="119">
        <f t="shared" si="30"/>
        <v>239569</v>
      </c>
      <c r="AM37" s="120">
        <f t="shared" si="10"/>
        <v>1</v>
      </c>
      <c r="AN37" s="120">
        <v>1</v>
      </c>
      <c r="AO37" s="164">
        <f t="shared" si="11"/>
        <v>0</v>
      </c>
      <c r="AP37" s="150">
        <v>1</v>
      </c>
      <c r="AQ37" s="119">
        <f t="shared" si="12"/>
        <v>239569</v>
      </c>
      <c r="AR37" s="150">
        <f t="shared" si="9"/>
        <v>0</v>
      </c>
      <c r="AS37" s="165">
        <f t="shared" si="13"/>
        <v>0</v>
      </c>
      <c r="AT37" s="181"/>
      <c r="AU37" s="167">
        <f t="shared" si="14"/>
        <v>0</v>
      </c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</row>
    <row r="38" spans="1:59" s="122" customFormat="1" ht="15" customHeight="1">
      <c r="A38" s="113">
        <v>4</v>
      </c>
      <c r="B38" s="114" t="s">
        <v>53</v>
      </c>
      <c r="C38" s="115"/>
      <c r="D38" s="116">
        <v>0.25</v>
      </c>
      <c r="E38" s="117">
        <f t="shared" si="35"/>
        <v>598922.5</v>
      </c>
      <c r="F38" s="116"/>
      <c r="G38" s="117">
        <f t="shared" si="16"/>
        <v>0</v>
      </c>
      <c r="H38" s="116"/>
      <c r="I38" s="117">
        <f t="shared" si="36"/>
        <v>0</v>
      </c>
      <c r="J38" s="116">
        <v>1</v>
      </c>
      <c r="K38" s="117">
        <f t="shared" si="26"/>
        <v>598922.5</v>
      </c>
      <c r="L38" s="116">
        <v>1</v>
      </c>
      <c r="M38" s="117">
        <f t="shared" si="32"/>
        <v>598922.5</v>
      </c>
      <c r="N38" s="116"/>
      <c r="O38" s="117">
        <f t="shared" si="19"/>
        <v>0</v>
      </c>
      <c r="P38" s="116"/>
      <c r="Q38" s="117">
        <f t="shared" si="20"/>
        <v>0</v>
      </c>
      <c r="R38" s="116"/>
      <c r="S38" s="117">
        <f t="shared" si="21"/>
        <v>0</v>
      </c>
      <c r="T38" s="116"/>
      <c r="U38" s="117">
        <f t="shared" si="27"/>
        <v>0</v>
      </c>
      <c r="V38" s="116"/>
      <c r="W38" s="117">
        <f t="shared" si="22"/>
        <v>0</v>
      </c>
      <c r="X38" s="116"/>
      <c r="Y38" s="117">
        <f t="shared" si="28"/>
        <v>0</v>
      </c>
      <c r="Z38" s="116"/>
      <c r="AA38" s="117">
        <f t="shared" si="23"/>
        <v>0</v>
      </c>
      <c r="AB38" s="116"/>
      <c r="AC38" s="117">
        <f t="shared" si="29"/>
        <v>0</v>
      </c>
      <c r="AD38" s="116"/>
      <c r="AE38" s="117">
        <f t="shared" si="24"/>
        <v>0</v>
      </c>
      <c r="AF38" s="116"/>
      <c r="AG38" s="118">
        <f t="shared" si="33"/>
        <v>0</v>
      </c>
      <c r="AH38" s="217"/>
      <c r="AI38" s="220"/>
      <c r="AJ38" s="220"/>
      <c r="AK38" s="150">
        <f t="shared" si="30"/>
        <v>1</v>
      </c>
      <c r="AL38" s="119">
        <f t="shared" si="30"/>
        <v>598922.5</v>
      </c>
      <c r="AM38" s="120">
        <f t="shared" si="10"/>
        <v>1</v>
      </c>
      <c r="AN38" s="120">
        <v>1</v>
      </c>
      <c r="AO38" s="164">
        <f t="shared" si="11"/>
        <v>0</v>
      </c>
      <c r="AP38" s="150">
        <v>1</v>
      </c>
      <c r="AQ38" s="119">
        <f t="shared" si="12"/>
        <v>598922.5</v>
      </c>
      <c r="AR38" s="150">
        <f t="shared" si="9"/>
        <v>0</v>
      </c>
      <c r="AS38" s="165">
        <f t="shared" si="13"/>
        <v>0</v>
      </c>
      <c r="AT38" s="181"/>
      <c r="AU38" s="167">
        <f t="shared" si="14"/>
        <v>0</v>
      </c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</row>
    <row r="39" spans="1:59" s="122" customFormat="1" ht="15" customHeight="1">
      <c r="A39" s="113">
        <v>5</v>
      </c>
      <c r="B39" s="114" t="s">
        <v>54</v>
      </c>
      <c r="C39" s="115"/>
      <c r="D39" s="116">
        <v>0.15</v>
      </c>
      <c r="E39" s="117">
        <f t="shared" si="35"/>
        <v>359353.5</v>
      </c>
      <c r="F39" s="116"/>
      <c r="G39" s="117">
        <f t="shared" si="16"/>
        <v>0</v>
      </c>
      <c r="H39" s="116"/>
      <c r="I39" s="117">
        <f t="shared" si="36"/>
        <v>0</v>
      </c>
      <c r="J39" s="116">
        <v>0.5</v>
      </c>
      <c r="K39" s="117">
        <f t="shared" si="26"/>
        <v>179676.75</v>
      </c>
      <c r="L39" s="116">
        <v>0.5</v>
      </c>
      <c r="M39" s="117">
        <f t="shared" si="32"/>
        <v>179676.75</v>
      </c>
      <c r="N39" s="116">
        <v>0.5</v>
      </c>
      <c r="O39" s="117">
        <f t="shared" si="19"/>
        <v>179676.75</v>
      </c>
      <c r="P39" s="116">
        <v>0.5</v>
      </c>
      <c r="Q39" s="117">
        <f t="shared" si="20"/>
        <v>179676.75</v>
      </c>
      <c r="R39" s="116"/>
      <c r="S39" s="117">
        <f t="shared" si="21"/>
        <v>0</v>
      </c>
      <c r="T39" s="116"/>
      <c r="U39" s="117">
        <f t="shared" si="27"/>
        <v>0</v>
      </c>
      <c r="V39" s="116"/>
      <c r="W39" s="117">
        <f t="shared" si="22"/>
        <v>0</v>
      </c>
      <c r="X39" s="116"/>
      <c r="Y39" s="117">
        <f t="shared" si="28"/>
        <v>0</v>
      </c>
      <c r="Z39" s="116"/>
      <c r="AA39" s="117">
        <f t="shared" si="23"/>
        <v>0</v>
      </c>
      <c r="AB39" s="116"/>
      <c r="AC39" s="117">
        <f t="shared" si="29"/>
        <v>0</v>
      </c>
      <c r="AD39" s="116"/>
      <c r="AE39" s="117">
        <f t="shared" si="24"/>
        <v>0</v>
      </c>
      <c r="AF39" s="116"/>
      <c r="AG39" s="118">
        <f t="shared" si="33"/>
        <v>0</v>
      </c>
      <c r="AH39" s="217"/>
      <c r="AI39" s="220"/>
      <c r="AJ39" s="220"/>
      <c r="AK39" s="150">
        <f t="shared" si="30"/>
        <v>1</v>
      </c>
      <c r="AL39" s="119">
        <f t="shared" si="30"/>
        <v>359353.5</v>
      </c>
      <c r="AM39" s="120">
        <f t="shared" si="10"/>
        <v>1</v>
      </c>
      <c r="AN39" s="120">
        <v>1</v>
      </c>
      <c r="AO39" s="164">
        <f t="shared" si="11"/>
        <v>0</v>
      </c>
      <c r="AP39" s="150">
        <v>0.8</v>
      </c>
      <c r="AQ39" s="119">
        <f t="shared" si="12"/>
        <v>287482.8</v>
      </c>
      <c r="AR39" s="150">
        <f t="shared" si="9"/>
        <v>0.19999999999999996</v>
      </c>
      <c r="AS39" s="165">
        <f t="shared" si="13"/>
        <v>71870.699999999983</v>
      </c>
      <c r="AT39" s="181">
        <f t="shared" ref="AT39:AT40" si="37">100%-AK39</f>
        <v>0</v>
      </c>
      <c r="AU39" s="167">
        <f t="shared" si="14"/>
        <v>0</v>
      </c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</row>
    <row r="40" spans="1:59" s="122" customFormat="1" ht="15" customHeight="1">
      <c r="A40" s="113">
        <v>6</v>
      </c>
      <c r="B40" s="114" t="s">
        <v>55</v>
      </c>
      <c r="C40" s="115"/>
      <c r="D40" s="116">
        <v>0.1</v>
      </c>
      <c r="E40" s="117">
        <f t="shared" si="35"/>
        <v>239569</v>
      </c>
      <c r="F40" s="116"/>
      <c r="G40" s="117">
        <f t="shared" si="16"/>
        <v>0</v>
      </c>
      <c r="H40" s="116"/>
      <c r="I40" s="117">
        <f t="shared" si="36"/>
        <v>0</v>
      </c>
      <c r="J40" s="116"/>
      <c r="K40" s="117">
        <f t="shared" si="26"/>
        <v>0</v>
      </c>
      <c r="L40" s="116"/>
      <c r="M40" s="117">
        <f t="shared" si="32"/>
        <v>0</v>
      </c>
      <c r="N40" s="116">
        <v>1</v>
      </c>
      <c r="O40" s="117">
        <f t="shared" si="19"/>
        <v>239569</v>
      </c>
      <c r="P40" s="116">
        <v>1</v>
      </c>
      <c r="Q40" s="117">
        <f t="shared" si="20"/>
        <v>239569</v>
      </c>
      <c r="R40" s="116"/>
      <c r="S40" s="117">
        <f t="shared" si="21"/>
        <v>0</v>
      </c>
      <c r="T40" s="116"/>
      <c r="U40" s="117">
        <f t="shared" si="27"/>
        <v>0</v>
      </c>
      <c r="V40" s="116"/>
      <c r="W40" s="117">
        <f t="shared" si="22"/>
        <v>0</v>
      </c>
      <c r="X40" s="116"/>
      <c r="Y40" s="117">
        <f t="shared" si="28"/>
        <v>0</v>
      </c>
      <c r="Z40" s="116"/>
      <c r="AA40" s="117">
        <f t="shared" si="23"/>
        <v>0</v>
      </c>
      <c r="AB40" s="116"/>
      <c r="AC40" s="117">
        <f t="shared" si="29"/>
        <v>0</v>
      </c>
      <c r="AD40" s="116"/>
      <c r="AE40" s="117">
        <f t="shared" si="24"/>
        <v>0</v>
      </c>
      <c r="AF40" s="116"/>
      <c r="AG40" s="118">
        <f t="shared" si="33"/>
        <v>0</v>
      </c>
      <c r="AH40" s="217"/>
      <c r="AI40" s="220"/>
      <c r="AJ40" s="220"/>
      <c r="AK40" s="150">
        <f t="shared" ref="AK40:AL55" si="38">F40+H40+L40+P40+T40+X40+AB40+AF40</f>
        <v>1</v>
      </c>
      <c r="AL40" s="119">
        <f t="shared" si="38"/>
        <v>239569</v>
      </c>
      <c r="AM40" s="120">
        <f t="shared" si="10"/>
        <v>1</v>
      </c>
      <c r="AN40" s="120">
        <v>1</v>
      </c>
      <c r="AO40" s="164">
        <f t="shared" si="11"/>
        <v>0</v>
      </c>
      <c r="AP40" s="150">
        <v>0</v>
      </c>
      <c r="AQ40" s="119">
        <f t="shared" si="12"/>
        <v>0</v>
      </c>
      <c r="AR40" s="150">
        <f t="shared" si="9"/>
        <v>1</v>
      </c>
      <c r="AS40" s="165">
        <f t="shared" si="13"/>
        <v>239569</v>
      </c>
      <c r="AT40" s="181">
        <f t="shared" si="37"/>
        <v>0</v>
      </c>
      <c r="AU40" s="167">
        <f t="shared" si="14"/>
        <v>0</v>
      </c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</row>
    <row r="41" spans="1:59" s="122" customFormat="1" ht="15" customHeight="1">
      <c r="A41" s="113">
        <v>7</v>
      </c>
      <c r="B41" s="114" t="s">
        <v>56</v>
      </c>
      <c r="C41" s="115"/>
      <c r="D41" s="116">
        <v>0.15</v>
      </c>
      <c r="E41" s="117">
        <f t="shared" si="35"/>
        <v>359353.5</v>
      </c>
      <c r="F41" s="116"/>
      <c r="G41" s="117">
        <f t="shared" si="16"/>
        <v>0</v>
      </c>
      <c r="H41" s="116"/>
      <c r="I41" s="117">
        <f t="shared" si="36"/>
        <v>0</v>
      </c>
      <c r="J41" s="116"/>
      <c r="K41" s="117">
        <f t="shared" si="26"/>
        <v>0</v>
      </c>
      <c r="L41" s="116"/>
      <c r="M41" s="117">
        <f t="shared" si="32"/>
        <v>0</v>
      </c>
      <c r="N41" s="116"/>
      <c r="O41" s="117">
        <f t="shared" si="19"/>
        <v>0</v>
      </c>
      <c r="P41" s="116"/>
      <c r="Q41" s="117">
        <f t="shared" si="20"/>
        <v>0</v>
      </c>
      <c r="R41" s="116">
        <v>1</v>
      </c>
      <c r="S41" s="117">
        <f t="shared" si="21"/>
        <v>359353.5</v>
      </c>
      <c r="T41" s="116">
        <v>1</v>
      </c>
      <c r="U41" s="117">
        <f t="shared" si="27"/>
        <v>359353.5</v>
      </c>
      <c r="V41" s="116"/>
      <c r="W41" s="117">
        <f t="shared" si="22"/>
        <v>0</v>
      </c>
      <c r="X41" s="116"/>
      <c r="Y41" s="117">
        <f t="shared" si="28"/>
        <v>0</v>
      </c>
      <c r="Z41" s="116"/>
      <c r="AA41" s="117">
        <f t="shared" si="23"/>
        <v>0</v>
      </c>
      <c r="AB41" s="116"/>
      <c r="AC41" s="117">
        <f t="shared" si="29"/>
        <v>0</v>
      </c>
      <c r="AD41" s="116"/>
      <c r="AE41" s="117">
        <f t="shared" si="24"/>
        <v>0</v>
      </c>
      <c r="AF41" s="116"/>
      <c r="AG41" s="118">
        <f t="shared" si="33"/>
        <v>0</v>
      </c>
      <c r="AH41" s="217"/>
      <c r="AI41" s="220"/>
      <c r="AJ41" s="220"/>
      <c r="AK41" s="150">
        <f t="shared" si="38"/>
        <v>1</v>
      </c>
      <c r="AL41" s="119">
        <f t="shared" si="38"/>
        <v>359353.5</v>
      </c>
      <c r="AM41" s="120">
        <f t="shared" si="10"/>
        <v>1</v>
      </c>
      <c r="AN41" s="120">
        <v>0</v>
      </c>
      <c r="AO41" s="164">
        <f t="shared" si="11"/>
        <v>1</v>
      </c>
      <c r="AP41" s="150">
        <v>0</v>
      </c>
      <c r="AQ41" s="119">
        <f t="shared" si="12"/>
        <v>0</v>
      </c>
      <c r="AR41" s="150">
        <f t="shared" si="9"/>
        <v>1</v>
      </c>
      <c r="AS41" s="165">
        <f t="shared" si="13"/>
        <v>359353.5</v>
      </c>
      <c r="AT41" s="181"/>
      <c r="AU41" s="167">
        <f t="shared" si="14"/>
        <v>0</v>
      </c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</row>
    <row r="42" spans="1:59" s="122" customFormat="1" ht="15" customHeight="1">
      <c r="A42" s="113">
        <v>8</v>
      </c>
      <c r="B42" s="114" t="s">
        <v>57</v>
      </c>
      <c r="C42" s="115"/>
      <c r="D42" s="116">
        <v>0.05</v>
      </c>
      <c r="E42" s="117">
        <f t="shared" si="35"/>
        <v>119784.5</v>
      </c>
      <c r="F42" s="116"/>
      <c r="G42" s="117">
        <f t="shared" si="16"/>
        <v>0</v>
      </c>
      <c r="H42" s="116"/>
      <c r="I42" s="117">
        <f t="shared" si="36"/>
        <v>0</v>
      </c>
      <c r="J42" s="116"/>
      <c r="K42" s="117">
        <f t="shared" si="26"/>
        <v>0</v>
      </c>
      <c r="L42" s="116"/>
      <c r="M42" s="117">
        <f t="shared" si="32"/>
        <v>0</v>
      </c>
      <c r="N42" s="116"/>
      <c r="O42" s="117">
        <f t="shared" si="19"/>
        <v>0</v>
      </c>
      <c r="P42" s="116"/>
      <c r="Q42" s="117">
        <f t="shared" si="20"/>
        <v>0</v>
      </c>
      <c r="R42" s="116">
        <v>1</v>
      </c>
      <c r="S42" s="117">
        <f t="shared" si="21"/>
        <v>119784.5</v>
      </c>
      <c r="T42" s="116"/>
      <c r="U42" s="117">
        <f t="shared" si="27"/>
        <v>0</v>
      </c>
      <c r="V42" s="116"/>
      <c r="W42" s="117">
        <f t="shared" si="22"/>
        <v>0</v>
      </c>
      <c r="X42" s="116"/>
      <c r="Y42" s="117">
        <f t="shared" si="28"/>
        <v>0</v>
      </c>
      <c r="Z42" s="116"/>
      <c r="AA42" s="117">
        <f t="shared" si="23"/>
        <v>0</v>
      </c>
      <c r="AB42" s="116"/>
      <c r="AC42" s="117">
        <f t="shared" si="29"/>
        <v>0</v>
      </c>
      <c r="AD42" s="116"/>
      <c r="AE42" s="117">
        <f t="shared" si="24"/>
        <v>0</v>
      </c>
      <c r="AF42" s="116"/>
      <c r="AG42" s="118">
        <f t="shared" si="33"/>
        <v>0</v>
      </c>
      <c r="AH42" s="217"/>
      <c r="AI42" s="220"/>
      <c r="AJ42" s="220"/>
      <c r="AK42" s="150">
        <f t="shared" si="38"/>
        <v>0</v>
      </c>
      <c r="AL42" s="119">
        <f t="shared" si="38"/>
        <v>0</v>
      </c>
      <c r="AM42" s="120">
        <f t="shared" si="10"/>
        <v>0</v>
      </c>
      <c r="AN42" s="120">
        <v>0</v>
      </c>
      <c r="AO42" s="164">
        <f t="shared" si="11"/>
        <v>0</v>
      </c>
      <c r="AP42" s="150">
        <v>0</v>
      </c>
      <c r="AQ42" s="119">
        <f t="shared" si="12"/>
        <v>0</v>
      </c>
      <c r="AR42" s="150">
        <f t="shared" si="9"/>
        <v>0</v>
      </c>
      <c r="AS42" s="165">
        <f t="shared" si="13"/>
        <v>0</v>
      </c>
      <c r="AT42" s="166"/>
      <c r="AU42" s="167">
        <f t="shared" si="14"/>
        <v>0</v>
      </c>
      <c r="AV42" s="124"/>
      <c r="AW42" s="124"/>
      <c r="AX42" s="124"/>
      <c r="AY42" s="124"/>
      <c r="AZ42" s="124"/>
      <c r="BA42" s="124"/>
      <c r="BB42" s="124"/>
      <c r="BC42" s="124"/>
      <c r="BD42" s="124"/>
      <c r="BE42" s="124"/>
      <c r="BF42" s="124"/>
      <c r="BG42" s="124"/>
    </row>
    <row r="43" spans="1:59" s="122" customFormat="1" ht="15" customHeight="1">
      <c r="A43" s="113">
        <v>9</v>
      </c>
      <c r="B43" s="114" t="s">
        <v>58</v>
      </c>
      <c r="C43" s="115"/>
      <c r="D43" s="116">
        <v>0.05</v>
      </c>
      <c r="E43" s="117">
        <f t="shared" si="35"/>
        <v>119784.5</v>
      </c>
      <c r="F43" s="116"/>
      <c r="G43" s="117">
        <f t="shared" si="16"/>
        <v>0</v>
      </c>
      <c r="H43" s="116"/>
      <c r="I43" s="117">
        <f t="shared" si="36"/>
        <v>0</v>
      </c>
      <c r="J43" s="116"/>
      <c r="K43" s="117">
        <f t="shared" si="26"/>
        <v>0</v>
      </c>
      <c r="L43" s="116"/>
      <c r="M43" s="117">
        <f t="shared" si="32"/>
        <v>0</v>
      </c>
      <c r="N43" s="116"/>
      <c r="O43" s="117">
        <f t="shared" si="19"/>
        <v>0</v>
      </c>
      <c r="P43" s="116"/>
      <c r="Q43" s="117">
        <f t="shared" si="20"/>
        <v>0</v>
      </c>
      <c r="R43" s="116">
        <v>1</v>
      </c>
      <c r="S43" s="117">
        <f t="shared" si="21"/>
        <v>119784.5</v>
      </c>
      <c r="T43" s="116"/>
      <c r="U43" s="117">
        <f t="shared" si="27"/>
        <v>0</v>
      </c>
      <c r="V43" s="116"/>
      <c r="W43" s="117">
        <f t="shared" si="22"/>
        <v>0</v>
      </c>
      <c r="X43" s="116"/>
      <c r="Y43" s="117">
        <f t="shared" si="28"/>
        <v>0</v>
      </c>
      <c r="Z43" s="116"/>
      <c r="AA43" s="117">
        <f t="shared" si="23"/>
        <v>0</v>
      </c>
      <c r="AB43" s="116"/>
      <c r="AC43" s="117">
        <f t="shared" si="29"/>
        <v>0</v>
      </c>
      <c r="AD43" s="116"/>
      <c r="AE43" s="117">
        <f t="shared" si="24"/>
        <v>0</v>
      </c>
      <c r="AF43" s="116"/>
      <c r="AG43" s="118">
        <f t="shared" si="33"/>
        <v>0</v>
      </c>
      <c r="AH43" s="217"/>
      <c r="AI43" s="220"/>
      <c r="AJ43" s="220"/>
      <c r="AK43" s="150">
        <f t="shared" si="38"/>
        <v>0</v>
      </c>
      <c r="AL43" s="119">
        <f t="shared" si="38"/>
        <v>0</v>
      </c>
      <c r="AM43" s="120">
        <f t="shared" si="10"/>
        <v>0</v>
      </c>
      <c r="AN43" s="120">
        <v>0</v>
      </c>
      <c r="AO43" s="164">
        <f t="shared" si="11"/>
        <v>0</v>
      </c>
      <c r="AP43" s="150">
        <v>0</v>
      </c>
      <c r="AQ43" s="119">
        <f t="shared" si="12"/>
        <v>0</v>
      </c>
      <c r="AR43" s="150">
        <f t="shared" si="9"/>
        <v>0</v>
      </c>
      <c r="AS43" s="165">
        <f t="shared" si="13"/>
        <v>0</v>
      </c>
      <c r="AT43" s="166"/>
      <c r="AU43" s="167">
        <f t="shared" si="14"/>
        <v>0</v>
      </c>
      <c r="AV43" s="124"/>
      <c r="AW43" s="124"/>
      <c r="AX43" s="124"/>
      <c r="AY43" s="124"/>
      <c r="AZ43" s="124"/>
      <c r="BA43" s="124"/>
      <c r="BB43" s="124"/>
      <c r="BC43" s="124"/>
      <c r="BD43" s="124"/>
      <c r="BE43" s="124"/>
      <c r="BF43" s="124"/>
      <c r="BG43" s="124"/>
    </row>
    <row r="44" spans="1:59" s="122" customFormat="1" ht="15" customHeight="1">
      <c r="A44" s="113">
        <v>10</v>
      </c>
      <c r="B44" s="114" t="s">
        <v>59</v>
      </c>
      <c r="C44" s="115"/>
      <c r="D44" s="116">
        <v>0.05</v>
      </c>
      <c r="E44" s="117">
        <f t="shared" si="35"/>
        <v>119784.5</v>
      </c>
      <c r="F44" s="116"/>
      <c r="G44" s="117">
        <f t="shared" si="16"/>
        <v>0</v>
      </c>
      <c r="H44" s="116"/>
      <c r="I44" s="117">
        <f t="shared" si="36"/>
        <v>0</v>
      </c>
      <c r="J44" s="116"/>
      <c r="K44" s="117">
        <f t="shared" si="26"/>
        <v>0</v>
      </c>
      <c r="L44" s="116"/>
      <c r="M44" s="117">
        <f t="shared" si="32"/>
        <v>0</v>
      </c>
      <c r="N44" s="116"/>
      <c r="O44" s="117">
        <f t="shared" si="19"/>
        <v>0</v>
      </c>
      <c r="P44" s="116"/>
      <c r="Q44" s="117">
        <f t="shared" si="20"/>
        <v>0</v>
      </c>
      <c r="R44" s="116"/>
      <c r="S44" s="117">
        <f t="shared" si="21"/>
        <v>0</v>
      </c>
      <c r="T44" s="116"/>
      <c r="U44" s="117">
        <f t="shared" si="27"/>
        <v>0</v>
      </c>
      <c r="V44" s="116"/>
      <c r="W44" s="117">
        <f t="shared" si="22"/>
        <v>0</v>
      </c>
      <c r="X44" s="116"/>
      <c r="Y44" s="117">
        <f t="shared" si="28"/>
        <v>0</v>
      </c>
      <c r="Z44" s="116"/>
      <c r="AA44" s="117">
        <f t="shared" si="23"/>
        <v>0</v>
      </c>
      <c r="AB44" s="116"/>
      <c r="AC44" s="117">
        <f t="shared" si="29"/>
        <v>0</v>
      </c>
      <c r="AD44" s="116">
        <v>1</v>
      </c>
      <c r="AE44" s="117">
        <f t="shared" si="24"/>
        <v>119784.5</v>
      </c>
      <c r="AF44" s="116"/>
      <c r="AG44" s="118">
        <f t="shared" si="33"/>
        <v>0</v>
      </c>
      <c r="AH44" s="218"/>
      <c r="AI44" s="221"/>
      <c r="AJ44" s="221"/>
      <c r="AK44" s="150">
        <f t="shared" si="38"/>
        <v>0</v>
      </c>
      <c r="AL44" s="119">
        <f t="shared" si="38"/>
        <v>0</v>
      </c>
      <c r="AM44" s="120">
        <f t="shared" si="10"/>
        <v>0</v>
      </c>
      <c r="AN44" s="120">
        <v>0</v>
      </c>
      <c r="AO44" s="164">
        <f t="shared" si="11"/>
        <v>0</v>
      </c>
      <c r="AP44" s="150">
        <v>0</v>
      </c>
      <c r="AQ44" s="119">
        <f t="shared" si="12"/>
        <v>0</v>
      </c>
      <c r="AR44" s="150">
        <f t="shared" si="9"/>
        <v>0</v>
      </c>
      <c r="AS44" s="165">
        <f t="shared" si="13"/>
        <v>0</v>
      </c>
      <c r="AT44" s="166"/>
      <c r="AU44" s="167">
        <f t="shared" si="14"/>
        <v>0</v>
      </c>
      <c r="AV44" s="124"/>
      <c r="AW44" s="124"/>
      <c r="AX44" s="124"/>
      <c r="AY44" s="124"/>
      <c r="AZ44" s="124"/>
      <c r="BA44" s="124"/>
      <c r="BB44" s="124"/>
      <c r="BC44" s="124"/>
      <c r="BD44" s="124"/>
      <c r="BE44" s="124"/>
      <c r="BF44" s="124"/>
      <c r="BG44" s="124"/>
    </row>
    <row r="45" spans="1:59" ht="15" customHeight="1">
      <c r="A45" s="74" t="s">
        <v>60</v>
      </c>
      <c r="B45" s="75" t="s">
        <v>61</v>
      </c>
      <c r="C45" s="76">
        <v>1676983</v>
      </c>
      <c r="D45" s="77"/>
      <c r="E45" s="78"/>
      <c r="F45" s="79"/>
      <c r="G45" s="80">
        <f t="shared" si="16"/>
        <v>0</v>
      </c>
      <c r="H45" s="79"/>
      <c r="I45" s="80"/>
      <c r="J45" s="80"/>
      <c r="K45" s="80">
        <f t="shared" si="26"/>
        <v>0</v>
      </c>
      <c r="L45" s="79"/>
      <c r="M45" s="80">
        <f t="shared" si="32"/>
        <v>0</v>
      </c>
      <c r="N45" s="80"/>
      <c r="O45" s="80">
        <f t="shared" si="19"/>
        <v>0</v>
      </c>
      <c r="P45" s="79"/>
      <c r="Q45" s="80">
        <f t="shared" si="20"/>
        <v>0</v>
      </c>
      <c r="R45" s="80"/>
      <c r="S45" s="80">
        <f t="shared" si="21"/>
        <v>0</v>
      </c>
      <c r="T45" s="79"/>
      <c r="U45" s="80">
        <f t="shared" si="27"/>
        <v>0</v>
      </c>
      <c r="V45" s="80"/>
      <c r="W45" s="80">
        <f t="shared" si="22"/>
        <v>0</v>
      </c>
      <c r="X45" s="79"/>
      <c r="Y45" s="80">
        <f t="shared" si="28"/>
        <v>0</v>
      </c>
      <c r="Z45" s="80"/>
      <c r="AA45" s="80">
        <f t="shared" si="23"/>
        <v>0</v>
      </c>
      <c r="AB45" s="79"/>
      <c r="AC45" s="80">
        <f t="shared" si="29"/>
        <v>0</v>
      </c>
      <c r="AD45" s="80"/>
      <c r="AE45" s="80">
        <f t="shared" si="24"/>
        <v>0</v>
      </c>
      <c r="AF45" s="79"/>
      <c r="AG45" s="81">
        <f t="shared" si="33"/>
        <v>0</v>
      </c>
      <c r="AH45" s="216">
        <f>SUM(E46:E58)</f>
        <v>1676982.9999999995</v>
      </c>
      <c r="AI45" s="219">
        <f>SUM(U46:U58)+SUM(AG46:AG58)+SUM(M46:M58)+SUM(G46:G58)+SUM(Y46:Y58)+SUM(Q46:Q58)</f>
        <v>1257737.25</v>
      </c>
      <c r="AJ45" s="222">
        <f>AI45/AH45</f>
        <v>0.75000000000000022</v>
      </c>
      <c r="AK45" s="17">
        <f t="shared" si="38"/>
        <v>0</v>
      </c>
      <c r="AL45" s="23">
        <f t="shared" si="38"/>
        <v>0</v>
      </c>
      <c r="AM45" s="4">
        <f t="shared" si="10"/>
        <v>0</v>
      </c>
      <c r="AN45" s="4">
        <v>0</v>
      </c>
      <c r="AO45" s="136">
        <f t="shared" si="11"/>
        <v>0</v>
      </c>
      <c r="AP45" s="17">
        <v>0</v>
      </c>
      <c r="AQ45" s="23">
        <f t="shared" si="12"/>
        <v>0</v>
      </c>
      <c r="AR45" s="17">
        <f t="shared" si="9"/>
        <v>0</v>
      </c>
      <c r="AS45" s="141">
        <f t="shared" si="13"/>
        <v>0</v>
      </c>
      <c r="AT45" s="158"/>
      <c r="AU45" s="146">
        <f t="shared" si="14"/>
        <v>0</v>
      </c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</row>
    <row r="46" spans="1:59" s="122" customFormat="1" ht="15" customHeight="1">
      <c r="A46" s="113">
        <v>1</v>
      </c>
      <c r="B46" s="114" t="s">
        <v>34</v>
      </c>
      <c r="C46" s="115"/>
      <c r="D46" s="116">
        <v>0.02</v>
      </c>
      <c r="E46" s="117">
        <f t="shared" ref="E46:E58" si="39">+D46*$C$45</f>
        <v>33539.660000000003</v>
      </c>
      <c r="F46" s="116">
        <v>1</v>
      </c>
      <c r="G46" s="117">
        <f t="shared" si="16"/>
        <v>33539.660000000003</v>
      </c>
      <c r="H46" s="116"/>
      <c r="I46" s="117"/>
      <c r="J46" s="116"/>
      <c r="K46" s="117">
        <f t="shared" si="26"/>
        <v>0</v>
      </c>
      <c r="L46" s="116"/>
      <c r="M46" s="117">
        <f t="shared" si="32"/>
        <v>0</v>
      </c>
      <c r="N46" s="116"/>
      <c r="O46" s="117">
        <f t="shared" si="19"/>
        <v>0</v>
      </c>
      <c r="P46" s="116"/>
      <c r="Q46" s="117">
        <f t="shared" si="20"/>
        <v>0</v>
      </c>
      <c r="R46" s="116"/>
      <c r="S46" s="117">
        <f t="shared" si="21"/>
        <v>0</v>
      </c>
      <c r="T46" s="116"/>
      <c r="U46" s="117">
        <f t="shared" si="27"/>
        <v>0</v>
      </c>
      <c r="V46" s="116"/>
      <c r="W46" s="117">
        <f t="shared" si="22"/>
        <v>0</v>
      </c>
      <c r="X46" s="116"/>
      <c r="Y46" s="117">
        <f t="shared" si="28"/>
        <v>0</v>
      </c>
      <c r="Z46" s="116"/>
      <c r="AA46" s="117">
        <f t="shared" si="23"/>
        <v>0</v>
      </c>
      <c r="AB46" s="116"/>
      <c r="AC46" s="117">
        <f t="shared" si="29"/>
        <v>0</v>
      </c>
      <c r="AD46" s="116"/>
      <c r="AE46" s="117">
        <f t="shared" si="24"/>
        <v>0</v>
      </c>
      <c r="AF46" s="116"/>
      <c r="AG46" s="118">
        <f t="shared" si="33"/>
        <v>0</v>
      </c>
      <c r="AH46" s="217"/>
      <c r="AI46" s="220"/>
      <c r="AJ46" s="220"/>
      <c r="AK46" s="150">
        <f t="shared" si="38"/>
        <v>1</v>
      </c>
      <c r="AL46" s="119">
        <f t="shared" si="38"/>
        <v>33539.660000000003</v>
      </c>
      <c r="AM46" s="120">
        <f t="shared" si="10"/>
        <v>1</v>
      </c>
      <c r="AN46" s="120">
        <v>1</v>
      </c>
      <c r="AO46" s="164">
        <f t="shared" si="11"/>
        <v>0</v>
      </c>
      <c r="AP46" s="150">
        <v>1</v>
      </c>
      <c r="AQ46" s="119">
        <f t="shared" si="12"/>
        <v>33539.660000000003</v>
      </c>
      <c r="AR46" s="150">
        <f t="shared" si="9"/>
        <v>0</v>
      </c>
      <c r="AS46" s="165">
        <f t="shared" si="13"/>
        <v>0</v>
      </c>
      <c r="AT46" s="181"/>
      <c r="AU46" s="167">
        <f t="shared" si="14"/>
        <v>0</v>
      </c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</row>
    <row r="47" spans="1:59" s="122" customFormat="1" ht="15" customHeight="1">
      <c r="A47" s="113">
        <v>2</v>
      </c>
      <c r="B47" s="114" t="s">
        <v>47</v>
      </c>
      <c r="C47" s="115"/>
      <c r="D47" s="116">
        <v>0.08</v>
      </c>
      <c r="E47" s="117">
        <f t="shared" si="39"/>
        <v>134158.64000000001</v>
      </c>
      <c r="F47" s="116">
        <v>1</v>
      </c>
      <c r="G47" s="117">
        <f t="shared" si="16"/>
        <v>134158.64000000001</v>
      </c>
      <c r="H47" s="116"/>
      <c r="I47" s="117">
        <f t="shared" ref="I47:I58" si="40">+H47*$E47</f>
        <v>0</v>
      </c>
      <c r="J47" s="116"/>
      <c r="K47" s="117">
        <f t="shared" si="26"/>
        <v>0</v>
      </c>
      <c r="L47" s="116"/>
      <c r="M47" s="117">
        <f t="shared" si="32"/>
        <v>0</v>
      </c>
      <c r="N47" s="116"/>
      <c r="O47" s="117">
        <f t="shared" si="19"/>
        <v>0</v>
      </c>
      <c r="P47" s="116"/>
      <c r="Q47" s="117">
        <f t="shared" si="20"/>
        <v>0</v>
      </c>
      <c r="R47" s="116"/>
      <c r="S47" s="117">
        <f t="shared" si="21"/>
        <v>0</v>
      </c>
      <c r="T47" s="116"/>
      <c r="U47" s="117">
        <f t="shared" si="27"/>
        <v>0</v>
      </c>
      <c r="V47" s="116"/>
      <c r="W47" s="117">
        <f t="shared" si="22"/>
        <v>0</v>
      </c>
      <c r="X47" s="116"/>
      <c r="Y47" s="117">
        <f t="shared" si="28"/>
        <v>0</v>
      </c>
      <c r="Z47" s="116"/>
      <c r="AA47" s="117">
        <f t="shared" si="23"/>
        <v>0</v>
      </c>
      <c r="AB47" s="116"/>
      <c r="AC47" s="117">
        <f t="shared" si="29"/>
        <v>0</v>
      </c>
      <c r="AD47" s="116"/>
      <c r="AE47" s="117">
        <f t="shared" si="24"/>
        <v>0</v>
      </c>
      <c r="AF47" s="116"/>
      <c r="AG47" s="118">
        <f t="shared" si="33"/>
        <v>0</v>
      </c>
      <c r="AH47" s="217"/>
      <c r="AI47" s="220"/>
      <c r="AJ47" s="220"/>
      <c r="AK47" s="150">
        <f t="shared" si="38"/>
        <v>1</v>
      </c>
      <c r="AL47" s="119">
        <f t="shared" si="38"/>
        <v>134158.64000000001</v>
      </c>
      <c r="AM47" s="120">
        <f t="shared" si="10"/>
        <v>1</v>
      </c>
      <c r="AN47" s="120">
        <v>1</v>
      </c>
      <c r="AO47" s="164">
        <f t="shared" si="11"/>
        <v>0</v>
      </c>
      <c r="AP47" s="150">
        <v>1</v>
      </c>
      <c r="AQ47" s="119">
        <f t="shared" si="12"/>
        <v>134158.64000000001</v>
      </c>
      <c r="AR47" s="150">
        <f t="shared" si="9"/>
        <v>0</v>
      </c>
      <c r="AS47" s="165">
        <f t="shared" si="13"/>
        <v>0</v>
      </c>
      <c r="AT47" s="181"/>
      <c r="AU47" s="167">
        <f t="shared" si="14"/>
        <v>0</v>
      </c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</row>
    <row r="48" spans="1:59" s="122" customFormat="1" ht="15" customHeight="1">
      <c r="A48" s="113">
        <v>3</v>
      </c>
      <c r="B48" s="114" t="s">
        <v>48</v>
      </c>
      <c r="C48" s="115"/>
      <c r="D48" s="116">
        <v>0.1</v>
      </c>
      <c r="E48" s="117">
        <f t="shared" si="39"/>
        <v>167698.30000000002</v>
      </c>
      <c r="F48" s="116">
        <v>1</v>
      </c>
      <c r="G48" s="117">
        <f t="shared" si="16"/>
        <v>167698.30000000002</v>
      </c>
      <c r="H48" s="116"/>
      <c r="I48" s="117">
        <f t="shared" si="40"/>
        <v>0</v>
      </c>
      <c r="J48" s="116"/>
      <c r="K48" s="117">
        <f t="shared" si="26"/>
        <v>0</v>
      </c>
      <c r="L48" s="116"/>
      <c r="M48" s="117">
        <f t="shared" si="32"/>
        <v>0</v>
      </c>
      <c r="N48" s="116"/>
      <c r="O48" s="117">
        <f t="shared" si="19"/>
        <v>0</v>
      </c>
      <c r="P48" s="116"/>
      <c r="Q48" s="117">
        <f t="shared" si="20"/>
        <v>0</v>
      </c>
      <c r="R48" s="116"/>
      <c r="S48" s="117">
        <f t="shared" si="21"/>
        <v>0</v>
      </c>
      <c r="T48" s="116"/>
      <c r="U48" s="117">
        <f t="shared" si="27"/>
        <v>0</v>
      </c>
      <c r="V48" s="116"/>
      <c r="W48" s="117">
        <f t="shared" si="22"/>
        <v>0</v>
      </c>
      <c r="X48" s="116"/>
      <c r="Y48" s="117">
        <f t="shared" si="28"/>
        <v>0</v>
      </c>
      <c r="Z48" s="116"/>
      <c r="AA48" s="117">
        <f t="shared" si="23"/>
        <v>0</v>
      </c>
      <c r="AB48" s="116"/>
      <c r="AC48" s="117">
        <f t="shared" si="29"/>
        <v>0</v>
      </c>
      <c r="AD48" s="116"/>
      <c r="AE48" s="117">
        <f t="shared" si="24"/>
        <v>0</v>
      </c>
      <c r="AF48" s="116"/>
      <c r="AG48" s="118">
        <f t="shared" si="33"/>
        <v>0</v>
      </c>
      <c r="AH48" s="217"/>
      <c r="AI48" s="220"/>
      <c r="AJ48" s="220"/>
      <c r="AK48" s="150">
        <f t="shared" si="38"/>
        <v>1</v>
      </c>
      <c r="AL48" s="119">
        <f t="shared" si="38"/>
        <v>167698.30000000002</v>
      </c>
      <c r="AM48" s="120">
        <f t="shared" si="10"/>
        <v>1</v>
      </c>
      <c r="AN48" s="120">
        <v>1</v>
      </c>
      <c r="AO48" s="164">
        <f t="shared" si="11"/>
        <v>0</v>
      </c>
      <c r="AP48" s="150">
        <v>1</v>
      </c>
      <c r="AQ48" s="119">
        <f t="shared" si="12"/>
        <v>167698.30000000002</v>
      </c>
      <c r="AR48" s="150">
        <f t="shared" si="9"/>
        <v>0</v>
      </c>
      <c r="AS48" s="165">
        <f t="shared" si="13"/>
        <v>0</v>
      </c>
      <c r="AT48" s="181"/>
      <c r="AU48" s="167">
        <f t="shared" si="14"/>
        <v>0</v>
      </c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</row>
    <row r="49" spans="1:59" s="122" customFormat="1" ht="15" customHeight="1">
      <c r="A49" s="113">
        <v>4</v>
      </c>
      <c r="B49" s="114" t="s">
        <v>62</v>
      </c>
      <c r="C49" s="115"/>
      <c r="D49" s="116">
        <v>0.1</v>
      </c>
      <c r="E49" s="117">
        <f t="shared" si="39"/>
        <v>167698.30000000002</v>
      </c>
      <c r="F49" s="116">
        <v>1</v>
      </c>
      <c r="G49" s="117">
        <f t="shared" si="16"/>
        <v>167698.30000000002</v>
      </c>
      <c r="H49" s="116"/>
      <c r="I49" s="117">
        <f t="shared" si="40"/>
        <v>0</v>
      </c>
      <c r="J49" s="116"/>
      <c r="K49" s="117">
        <f t="shared" si="26"/>
        <v>0</v>
      </c>
      <c r="L49" s="116"/>
      <c r="M49" s="117">
        <f t="shared" si="32"/>
        <v>0</v>
      </c>
      <c r="N49" s="116"/>
      <c r="O49" s="117">
        <f t="shared" si="19"/>
        <v>0</v>
      </c>
      <c r="P49" s="116"/>
      <c r="Q49" s="117">
        <f t="shared" si="20"/>
        <v>0</v>
      </c>
      <c r="R49" s="116"/>
      <c r="S49" s="117">
        <f t="shared" si="21"/>
        <v>0</v>
      </c>
      <c r="T49" s="116"/>
      <c r="U49" s="117">
        <f t="shared" si="27"/>
        <v>0</v>
      </c>
      <c r="V49" s="116"/>
      <c r="W49" s="117">
        <f t="shared" si="22"/>
        <v>0</v>
      </c>
      <c r="X49" s="116"/>
      <c r="Y49" s="117">
        <f t="shared" si="28"/>
        <v>0</v>
      </c>
      <c r="Z49" s="116"/>
      <c r="AA49" s="117">
        <f t="shared" si="23"/>
        <v>0</v>
      </c>
      <c r="AB49" s="116"/>
      <c r="AC49" s="117">
        <f t="shared" si="29"/>
        <v>0</v>
      </c>
      <c r="AD49" s="116"/>
      <c r="AE49" s="117">
        <f t="shared" si="24"/>
        <v>0</v>
      </c>
      <c r="AF49" s="116"/>
      <c r="AG49" s="118">
        <f t="shared" si="33"/>
        <v>0</v>
      </c>
      <c r="AH49" s="217"/>
      <c r="AI49" s="220"/>
      <c r="AJ49" s="220"/>
      <c r="AK49" s="150">
        <f t="shared" si="38"/>
        <v>1</v>
      </c>
      <c r="AL49" s="119">
        <f t="shared" si="38"/>
        <v>167698.30000000002</v>
      </c>
      <c r="AM49" s="120">
        <f t="shared" si="10"/>
        <v>1</v>
      </c>
      <c r="AN49" s="120">
        <v>1</v>
      </c>
      <c r="AO49" s="164">
        <f t="shared" si="11"/>
        <v>0</v>
      </c>
      <c r="AP49" s="150">
        <v>1</v>
      </c>
      <c r="AQ49" s="119">
        <f t="shared" si="12"/>
        <v>167698.30000000002</v>
      </c>
      <c r="AR49" s="150">
        <f t="shared" si="9"/>
        <v>0</v>
      </c>
      <c r="AS49" s="165">
        <f t="shared" si="13"/>
        <v>0</v>
      </c>
      <c r="AT49" s="181"/>
      <c r="AU49" s="167">
        <f t="shared" si="14"/>
        <v>0</v>
      </c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</row>
    <row r="50" spans="1:59" s="122" customFormat="1" ht="15" customHeight="1">
      <c r="A50" s="113">
        <v>5</v>
      </c>
      <c r="B50" s="114" t="s">
        <v>54</v>
      </c>
      <c r="C50" s="115"/>
      <c r="D50" s="116">
        <v>0.15</v>
      </c>
      <c r="E50" s="117">
        <f t="shared" si="39"/>
        <v>251547.44999999998</v>
      </c>
      <c r="F50" s="116">
        <v>1</v>
      </c>
      <c r="G50" s="117">
        <f t="shared" si="16"/>
        <v>251547.44999999998</v>
      </c>
      <c r="H50" s="116"/>
      <c r="I50" s="117">
        <f t="shared" si="40"/>
        <v>0</v>
      </c>
      <c r="J50" s="116"/>
      <c r="K50" s="117">
        <f t="shared" si="26"/>
        <v>0</v>
      </c>
      <c r="L50" s="116"/>
      <c r="M50" s="117">
        <f t="shared" si="32"/>
        <v>0</v>
      </c>
      <c r="N50" s="116"/>
      <c r="O50" s="117">
        <f t="shared" si="19"/>
        <v>0</v>
      </c>
      <c r="P50" s="116"/>
      <c r="Q50" s="117">
        <f t="shared" si="20"/>
        <v>0</v>
      </c>
      <c r="R50" s="116"/>
      <c r="S50" s="117">
        <f t="shared" si="21"/>
        <v>0</v>
      </c>
      <c r="T50" s="116"/>
      <c r="U50" s="117">
        <f t="shared" si="27"/>
        <v>0</v>
      </c>
      <c r="V50" s="116"/>
      <c r="W50" s="117">
        <f t="shared" si="22"/>
        <v>0</v>
      </c>
      <c r="X50" s="116"/>
      <c r="Y50" s="117">
        <f t="shared" si="28"/>
        <v>0</v>
      </c>
      <c r="Z50" s="116"/>
      <c r="AA50" s="117">
        <f t="shared" si="23"/>
        <v>0</v>
      </c>
      <c r="AB50" s="116"/>
      <c r="AC50" s="117">
        <f t="shared" si="29"/>
        <v>0</v>
      </c>
      <c r="AD50" s="116"/>
      <c r="AE50" s="117">
        <f t="shared" si="24"/>
        <v>0</v>
      </c>
      <c r="AF50" s="116"/>
      <c r="AG50" s="118">
        <f t="shared" si="33"/>
        <v>0</v>
      </c>
      <c r="AH50" s="217"/>
      <c r="AI50" s="220"/>
      <c r="AJ50" s="220"/>
      <c r="AK50" s="150">
        <f t="shared" si="38"/>
        <v>1</v>
      </c>
      <c r="AL50" s="119">
        <f t="shared" si="38"/>
        <v>251547.44999999998</v>
      </c>
      <c r="AM50" s="120">
        <f t="shared" si="10"/>
        <v>1</v>
      </c>
      <c r="AN50" s="120">
        <v>1</v>
      </c>
      <c r="AO50" s="164">
        <f t="shared" si="11"/>
        <v>0</v>
      </c>
      <c r="AP50" s="150">
        <v>1</v>
      </c>
      <c r="AQ50" s="119">
        <f t="shared" si="12"/>
        <v>251547.44999999998</v>
      </c>
      <c r="AR50" s="150">
        <f t="shared" si="9"/>
        <v>0</v>
      </c>
      <c r="AS50" s="165">
        <f t="shared" si="13"/>
        <v>0</v>
      </c>
      <c r="AT50" s="181"/>
      <c r="AU50" s="167">
        <f t="shared" si="14"/>
        <v>0</v>
      </c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</row>
    <row r="51" spans="1:59" s="122" customFormat="1" ht="15" customHeight="1">
      <c r="A51" s="113">
        <v>6</v>
      </c>
      <c r="B51" s="114" t="s">
        <v>63</v>
      </c>
      <c r="C51" s="115"/>
      <c r="D51" s="116">
        <v>0.15</v>
      </c>
      <c r="E51" s="117">
        <f t="shared" si="39"/>
        <v>251547.44999999998</v>
      </c>
      <c r="F51" s="116"/>
      <c r="G51" s="117">
        <f t="shared" si="16"/>
        <v>0</v>
      </c>
      <c r="H51" s="116"/>
      <c r="I51" s="117">
        <f t="shared" si="40"/>
        <v>0</v>
      </c>
      <c r="J51" s="116">
        <v>1</v>
      </c>
      <c r="K51" s="117">
        <f t="shared" si="26"/>
        <v>251547.44999999998</v>
      </c>
      <c r="L51" s="116">
        <v>1</v>
      </c>
      <c r="M51" s="117">
        <f t="shared" si="32"/>
        <v>251547.44999999998</v>
      </c>
      <c r="N51" s="116"/>
      <c r="O51" s="117">
        <f t="shared" si="19"/>
        <v>0</v>
      </c>
      <c r="P51" s="116"/>
      <c r="Q51" s="117">
        <f t="shared" si="20"/>
        <v>0</v>
      </c>
      <c r="R51" s="116"/>
      <c r="S51" s="117">
        <f t="shared" si="21"/>
        <v>0</v>
      </c>
      <c r="T51" s="116"/>
      <c r="U51" s="117">
        <f t="shared" si="27"/>
        <v>0</v>
      </c>
      <c r="V51" s="116"/>
      <c r="W51" s="117">
        <f t="shared" si="22"/>
        <v>0</v>
      </c>
      <c r="X51" s="116"/>
      <c r="Y51" s="117">
        <f t="shared" si="28"/>
        <v>0</v>
      </c>
      <c r="Z51" s="116"/>
      <c r="AA51" s="117">
        <f t="shared" si="23"/>
        <v>0</v>
      </c>
      <c r="AB51" s="116"/>
      <c r="AC51" s="117">
        <f t="shared" si="29"/>
        <v>0</v>
      </c>
      <c r="AD51" s="116"/>
      <c r="AE51" s="117">
        <f t="shared" si="24"/>
        <v>0</v>
      </c>
      <c r="AF51" s="116"/>
      <c r="AG51" s="118">
        <f t="shared" si="33"/>
        <v>0</v>
      </c>
      <c r="AH51" s="217"/>
      <c r="AI51" s="220"/>
      <c r="AJ51" s="220"/>
      <c r="AK51" s="150">
        <f t="shared" si="38"/>
        <v>1</v>
      </c>
      <c r="AL51" s="119">
        <f t="shared" si="38"/>
        <v>251547.44999999998</v>
      </c>
      <c r="AM51" s="120">
        <f t="shared" si="10"/>
        <v>1</v>
      </c>
      <c r="AN51" s="120">
        <v>1</v>
      </c>
      <c r="AO51" s="164">
        <f t="shared" si="11"/>
        <v>0</v>
      </c>
      <c r="AP51" s="150">
        <v>1</v>
      </c>
      <c r="AQ51" s="119">
        <f t="shared" si="12"/>
        <v>251547.44999999998</v>
      </c>
      <c r="AR51" s="150">
        <f t="shared" si="9"/>
        <v>0</v>
      </c>
      <c r="AS51" s="165">
        <f t="shared" si="13"/>
        <v>0</v>
      </c>
      <c r="AT51" s="181"/>
      <c r="AU51" s="167">
        <f t="shared" si="14"/>
        <v>0</v>
      </c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</row>
    <row r="52" spans="1:59" s="122" customFormat="1" ht="15" customHeight="1">
      <c r="A52" s="113">
        <v>7</v>
      </c>
      <c r="B52" s="114" t="s">
        <v>64</v>
      </c>
      <c r="C52" s="115"/>
      <c r="D52" s="116">
        <v>0.05</v>
      </c>
      <c r="E52" s="117">
        <f t="shared" si="39"/>
        <v>83849.150000000009</v>
      </c>
      <c r="F52" s="116"/>
      <c r="G52" s="117">
        <f t="shared" si="16"/>
        <v>0</v>
      </c>
      <c r="H52" s="116"/>
      <c r="I52" s="117">
        <f t="shared" si="40"/>
        <v>0</v>
      </c>
      <c r="J52" s="116">
        <v>1</v>
      </c>
      <c r="K52" s="117">
        <f t="shared" si="26"/>
        <v>83849.150000000009</v>
      </c>
      <c r="L52" s="116">
        <v>1</v>
      </c>
      <c r="M52" s="117">
        <f t="shared" si="32"/>
        <v>83849.150000000009</v>
      </c>
      <c r="N52" s="116"/>
      <c r="O52" s="117">
        <f t="shared" si="19"/>
        <v>0</v>
      </c>
      <c r="P52" s="116"/>
      <c r="Q52" s="117">
        <f t="shared" si="20"/>
        <v>0</v>
      </c>
      <c r="R52" s="116"/>
      <c r="S52" s="117">
        <f t="shared" si="21"/>
        <v>0</v>
      </c>
      <c r="T52" s="116"/>
      <c r="U52" s="117">
        <f t="shared" si="27"/>
        <v>0</v>
      </c>
      <c r="V52" s="116"/>
      <c r="W52" s="117">
        <f t="shared" si="22"/>
        <v>0</v>
      </c>
      <c r="X52" s="116"/>
      <c r="Y52" s="117">
        <f t="shared" si="28"/>
        <v>0</v>
      </c>
      <c r="Z52" s="116"/>
      <c r="AA52" s="117">
        <f t="shared" si="23"/>
        <v>0</v>
      </c>
      <c r="AB52" s="116"/>
      <c r="AC52" s="117">
        <f t="shared" si="29"/>
        <v>0</v>
      </c>
      <c r="AD52" s="116"/>
      <c r="AE52" s="117">
        <f t="shared" si="24"/>
        <v>0</v>
      </c>
      <c r="AF52" s="116"/>
      <c r="AG52" s="118">
        <f t="shared" si="33"/>
        <v>0</v>
      </c>
      <c r="AH52" s="217"/>
      <c r="AI52" s="220"/>
      <c r="AJ52" s="220"/>
      <c r="AK52" s="150">
        <f t="shared" si="38"/>
        <v>1</v>
      </c>
      <c r="AL52" s="119">
        <f t="shared" si="38"/>
        <v>83849.150000000009</v>
      </c>
      <c r="AM52" s="120">
        <f t="shared" si="10"/>
        <v>1</v>
      </c>
      <c r="AN52" s="120">
        <v>1</v>
      </c>
      <c r="AO52" s="164">
        <f t="shared" si="11"/>
        <v>0</v>
      </c>
      <c r="AP52" s="150">
        <v>1</v>
      </c>
      <c r="AQ52" s="119">
        <f t="shared" si="12"/>
        <v>83849.150000000009</v>
      </c>
      <c r="AR52" s="150">
        <f t="shared" si="9"/>
        <v>0</v>
      </c>
      <c r="AS52" s="165">
        <f t="shared" si="13"/>
        <v>0</v>
      </c>
      <c r="AT52" s="181"/>
      <c r="AU52" s="167">
        <f t="shared" si="14"/>
        <v>0</v>
      </c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</row>
    <row r="53" spans="1:59" s="122" customFormat="1" ht="15" customHeight="1">
      <c r="A53" s="113">
        <v>8</v>
      </c>
      <c r="B53" s="114" t="s">
        <v>65</v>
      </c>
      <c r="C53" s="115"/>
      <c r="D53" s="116">
        <v>0.1</v>
      </c>
      <c r="E53" s="117">
        <f t="shared" si="39"/>
        <v>167698.30000000002</v>
      </c>
      <c r="F53" s="116"/>
      <c r="G53" s="117">
        <f t="shared" si="16"/>
        <v>0</v>
      </c>
      <c r="H53" s="116"/>
      <c r="I53" s="117">
        <f t="shared" si="40"/>
        <v>0</v>
      </c>
      <c r="J53" s="116"/>
      <c r="K53" s="117">
        <f t="shared" si="26"/>
        <v>0</v>
      </c>
      <c r="L53" s="116"/>
      <c r="M53" s="117">
        <f t="shared" si="32"/>
        <v>0</v>
      </c>
      <c r="N53" s="116">
        <v>1</v>
      </c>
      <c r="O53" s="117">
        <f t="shared" si="19"/>
        <v>167698.30000000002</v>
      </c>
      <c r="P53" s="116">
        <v>1</v>
      </c>
      <c r="Q53" s="117">
        <f t="shared" si="20"/>
        <v>167698.30000000002</v>
      </c>
      <c r="R53" s="116"/>
      <c r="S53" s="117">
        <f t="shared" si="21"/>
        <v>0</v>
      </c>
      <c r="T53" s="116"/>
      <c r="U53" s="117">
        <f t="shared" si="27"/>
        <v>0</v>
      </c>
      <c r="V53" s="116"/>
      <c r="W53" s="117">
        <f t="shared" si="22"/>
        <v>0</v>
      </c>
      <c r="X53" s="116"/>
      <c r="Y53" s="117">
        <f t="shared" si="28"/>
        <v>0</v>
      </c>
      <c r="Z53" s="116"/>
      <c r="AA53" s="117">
        <f t="shared" si="23"/>
        <v>0</v>
      </c>
      <c r="AB53" s="116"/>
      <c r="AC53" s="117">
        <f t="shared" si="29"/>
        <v>0</v>
      </c>
      <c r="AD53" s="116"/>
      <c r="AE53" s="117">
        <f t="shared" si="24"/>
        <v>0</v>
      </c>
      <c r="AF53" s="116"/>
      <c r="AG53" s="118">
        <f t="shared" si="33"/>
        <v>0</v>
      </c>
      <c r="AH53" s="217"/>
      <c r="AI53" s="220"/>
      <c r="AJ53" s="220"/>
      <c r="AK53" s="150">
        <f t="shared" si="38"/>
        <v>1</v>
      </c>
      <c r="AL53" s="119">
        <f t="shared" si="38"/>
        <v>167698.30000000002</v>
      </c>
      <c r="AM53" s="120">
        <f t="shared" si="10"/>
        <v>1</v>
      </c>
      <c r="AN53" s="120">
        <v>1</v>
      </c>
      <c r="AO53" s="164">
        <f t="shared" si="11"/>
        <v>0</v>
      </c>
      <c r="AP53" s="150">
        <v>1</v>
      </c>
      <c r="AQ53" s="119">
        <f t="shared" si="12"/>
        <v>167698.30000000002</v>
      </c>
      <c r="AR53" s="150">
        <f t="shared" si="9"/>
        <v>0</v>
      </c>
      <c r="AS53" s="165">
        <f t="shared" si="13"/>
        <v>0</v>
      </c>
      <c r="AT53" s="181"/>
      <c r="AU53" s="167">
        <f t="shared" si="14"/>
        <v>0</v>
      </c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</row>
    <row r="54" spans="1:59" s="122" customFormat="1" ht="15" customHeight="1">
      <c r="A54" s="113">
        <v>9</v>
      </c>
      <c r="B54" s="114" t="s">
        <v>66</v>
      </c>
      <c r="C54" s="115"/>
      <c r="D54" s="116">
        <v>0.05</v>
      </c>
      <c r="E54" s="117">
        <f t="shared" si="39"/>
        <v>83849.150000000009</v>
      </c>
      <c r="F54" s="116"/>
      <c r="G54" s="117">
        <f t="shared" si="16"/>
        <v>0</v>
      </c>
      <c r="H54" s="116"/>
      <c r="I54" s="117">
        <f t="shared" si="40"/>
        <v>0</v>
      </c>
      <c r="J54" s="116"/>
      <c r="K54" s="117">
        <f t="shared" si="26"/>
        <v>0</v>
      </c>
      <c r="L54" s="116"/>
      <c r="M54" s="117">
        <f t="shared" si="32"/>
        <v>0</v>
      </c>
      <c r="N54" s="116"/>
      <c r="O54" s="117">
        <f t="shared" si="19"/>
        <v>0</v>
      </c>
      <c r="P54" s="116"/>
      <c r="Q54" s="117">
        <f t="shared" si="20"/>
        <v>0</v>
      </c>
      <c r="R54" s="116"/>
      <c r="S54" s="117">
        <f t="shared" si="21"/>
        <v>0</v>
      </c>
      <c r="T54" s="116"/>
      <c r="U54" s="117">
        <f t="shared" si="27"/>
        <v>0</v>
      </c>
      <c r="V54" s="116">
        <v>1</v>
      </c>
      <c r="W54" s="117">
        <f t="shared" si="22"/>
        <v>83849.150000000009</v>
      </c>
      <c r="X54" s="116"/>
      <c r="Y54" s="117">
        <f t="shared" si="28"/>
        <v>0</v>
      </c>
      <c r="Z54" s="116"/>
      <c r="AA54" s="117">
        <f t="shared" si="23"/>
        <v>0</v>
      </c>
      <c r="AB54" s="116"/>
      <c r="AC54" s="117">
        <f t="shared" si="29"/>
        <v>0</v>
      </c>
      <c r="AD54" s="116"/>
      <c r="AE54" s="117">
        <f t="shared" si="24"/>
        <v>0</v>
      </c>
      <c r="AF54" s="116"/>
      <c r="AG54" s="118">
        <f t="shared" si="33"/>
        <v>0</v>
      </c>
      <c r="AH54" s="217"/>
      <c r="AI54" s="220"/>
      <c r="AJ54" s="220"/>
      <c r="AK54" s="150">
        <f t="shared" si="38"/>
        <v>0</v>
      </c>
      <c r="AL54" s="119">
        <f t="shared" si="38"/>
        <v>0</v>
      </c>
      <c r="AM54" s="120">
        <f t="shared" si="10"/>
        <v>0</v>
      </c>
      <c r="AN54" s="120">
        <v>0</v>
      </c>
      <c r="AO54" s="164">
        <f t="shared" si="11"/>
        <v>0</v>
      </c>
      <c r="AP54" s="150">
        <v>0</v>
      </c>
      <c r="AQ54" s="119">
        <f t="shared" si="12"/>
        <v>0</v>
      </c>
      <c r="AR54" s="150">
        <f t="shared" si="9"/>
        <v>0</v>
      </c>
      <c r="AS54" s="165">
        <f t="shared" si="13"/>
        <v>0</v>
      </c>
      <c r="AT54" s="181"/>
      <c r="AU54" s="167">
        <f t="shared" si="14"/>
        <v>0</v>
      </c>
      <c r="AV54" s="121"/>
      <c r="AW54" s="121"/>
      <c r="AX54" s="121"/>
      <c r="AY54" s="121"/>
      <c r="AZ54" s="121"/>
      <c r="BA54" s="121"/>
      <c r="BB54" s="121"/>
      <c r="BC54" s="121"/>
      <c r="BD54" s="121"/>
      <c r="BE54" s="121"/>
      <c r="BF54" s="121"/>
      <c r="BG54" s="121"/>
    </row>
    <row r="55" spans="1:59" s="122" customFormat="1" ht="15" customHeight="1">
      <c r="A55" s="113">
        <v>10</v>
      </c>
      <c r="B55" s="114" t="s">
        <v>67</v>
      </c>
      <c r="C55" s="115"/>
      <c r="D55" s="116">
        <v>0.05</v>
      </c>
      <c r="E55" s="117">
        <f t="shared" si="39"/>
        <v>83849.150000000009</v>
      </c>
      <c r="F55" s="116"/>
      <c r="G55" s="117">
        <f t="shared" si="16"/>
        <v>0</v>
      </c>
      <c r="H55" s="116"/>
      <c r="I55" s="117">
        <f t="shared" si="40"/>
        <v>0</v>
      </c>
      <c r="J55" s="116"/>
      <c r="K55" s="117">
        <f t="shared" si="26"/>
        <v>0</v>
      </c>
      <c r="L55" s="116"/>
      <c r="M55" s="117">
        <f t="shared" si="32"/>
        <v>0</v>
      </c>
      <c r="N55" s="116"/>
      <c r="O55" s="117">
        <f t="shared" si="19"/>
        <v>0</v>
      </c>
      <c r="P55" s="116"/>
      <c r="Q55" s="117">
        <f t="shared" si="20"/>
        <v>0</v>
      </c>
      <c r="R55" s="116"/>
      <c r="S55" s="117">
        <f t="shared" si="21"/>
        <v>0</v>
      </c>
      <c r="T55" s="116"/>
      <c r="U55" s="117">
        <f t="shared" si="27"/>
        <v>0</v>
      </c>
      <c r="V55" s="116">
        <v>1</v>
      </c>
      <c r="W55" s="117">
        <f t="shared" si="22"/>
        <v>83849.150000000009</v>
      </c>
      <c r="X55" s="116"/>
      <c r="Y55" s="117">
        <f t="shared" si="28"/>
        <v>0</v>
      </c>
      <c r="Z55" s="116"/>
      <c r="AA55" s="117">
        <f t="shared" si="23"/>
        <v>0</v>
      </c>
      <c r="AB55" s="116"/>
      <c r="AC55" s="117">
        <f t="shared" si="29"/>
        <v>0</v>
      </c>
      <c r="AD55" s="116"/>
      <c r="AE55" s="117">
        <f t="shared" si="24"/>
        <v>0</v>
      </c>
      <c r="AF55" s="116"/>
      <c r="AG55" s="118">
        <f t="shared" si="33"/>
        <v>0</v>
      </c>
      <c r="AH55" s="217"/>
      <c r="AI55" s="220"/>
      <c r="AJ55" s="220"/>
      <c r="AK55" s="150">
        <f t="shared" si="38"/>
        <v>0</v>
      </c>
      <c r="AL55" s="119">
        <f t="shared" si="38"/>
        <v>0</v>
      </c>
      <c r="AM55" s="120">
        <f t="shared" si="10"/>
        <v>0</v>
      </c>
      <c r="AN55" s="120">
        <v>0</v>
      </c>
      <c r="AO55" s="164">
        <f t="shared" si="11"/>
        <v>0</v>
      </c>
      <c r="AP55" s="150">
        <v>0</v>
      </c>
      <c r="AQ55" s="119">
        <f t="shared" si="12"/>
        <v>0</v>
      </c>
      <c r="AR55" s="150">
        <f t="shared" si="9"/>
        <v>0</v>
      </c>
      <c r="AS55" s="165">
        <f t="shared" si="13"/>
        <v>0</v>
      </c>
      <c r="AT55" s="181"/>
      <c r="AU55" s="167">
        <f t="shared" si="14"/>
        <v>0</v>
      </c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F55" s="121"/>
      <c r="BG55" s="121"/>
    </row>
    <row r="56" spans="1:59" s="122" customFormat="1" ht="15" customHeight="1">
      <c r="A56" s="113">
        <v>11</v>
      </c>
      <c r="B56" s="114" t="s">
        <v>68</v>
      </c>
      <c r="C56" s="115"/>
      <c r="D56" s="116">
        <v>0.05</v>
      </c>
      <c r="E56" s="117">
        <f t="shared" si="39"/>
        <v>83849.150000000009</v>
      </c>
      <c r="F56" s="116"/>
      <c r="G56" s="117">
        <f t="shared" si="16"/>
        <v>0</v>
      </c>
      <c r="H56" s="116"/>
      <c r="I56" s="117">
        <f t="shared" si="40"/>
        <v>0</v>
      </c>
      <c r="J56" s="116"/>
      <c r="K56" s="117">
        <f t="shared" si="26"/>
        <v>0</v>
      </c>
      <c r="L56" s="116"/>
      <c r="M56" s="117">
        <f t="shared" si="32"/>
        <v>0</v>
      </c>
      <c r="N56" s="116"/>
      <c r="O56" s="117">
        <f t="shared" si="19"/>
        <v>0</v>
      </c>
      <c r="P56" s="116"/>
      <c r="Q56" s="117">
        <f t="shared" si="20"/>
        <v>0</v>
      </c>
      <c r="R56" s="116"/>
      <c r="S56" s="117">
        <f t="shared" si="21"/>
        <v>0</v>
      </c>
      <c r="T56" s="116"/>
      <c r="U56" s="117">
        <f t="shared" si="27"/>
        <v>0</v>
      </c>
      <c r="V56" s="116">
        <v>1</v>
      </c>
      <c r="W56" s="117">
        <f t="shared" si="22"/>
        <v>83849.150000000009</v>
      </c>
      <c r="X56" s="116"/>
      <c r="Y56" s="117">
        <f t="shared" si="28"/>
        <v>0</v>
      </c>
      <c r="Z56" s="116"/>
      <c r="AA56" s="117">
        <f t="shared" si="23"/>
        <v>0</v>
      </c>
      <c r="AB56" s="116"/>
      <c r="AC56" s="117">
        <f t="shared" si="29"/>
        <v>0</v>
      </c>
      <c r="AD56" s="116"/>
      <c r="AE56" s="117">
        <f t="shared" si="24"/>
        <v>0</v>
      </c>
      <c r="AF56" s="116"/>
      <c r="AG56" s="118">
        <f t="shared" si="33"/>
        <v>0</v>
      </c>
      <c r="AH56" s="217"/>
      <c r="AI56" s="220"/>
      <c r="AJ56" s="220"/>
      <c r="AK56" s="150">
        <f t="shared" ref="AK56:AL71" si="41">F56+H56+L56+P56+T56+X56+AB56+AF56</f>
        <v>0</v>
      </c>
      <c r="AL56" s="119">
        <f t="shared" si="41"/>
        <v>0</v>
      </c>
      <c r="AM56" s="120">
        <f t="shared" si="10"/>
        <v>0</v>
      </c>
      <c r="AN56" s="120">
        <v>0</v>
      </c>
      <c r="AO56" s="164">
        <f t="shared" si="11"/>
        <v>0</v>
      </c>
      <c r="AP56" s="150">
        <v>0</v>
      </c>
      <c r="AQ56" s="119">
        <f t="shared" si="12"/>
        <v>0</v>
      </c>
      <c r="AR56" s="150">
        <f t="shared" si="9"/>
        <v>0</v>
      </c>
      <c r="AS56" s="165">
        <f t="shared" si="13"/>
        <v>0</v>
      </c>
      <c r="AT56" s="181"/>
      <c r="AU56" s="167">
        <f t="shared" si="14"/>
        <v>0</v>
      </c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</row>
    <row r="57" spans="1:59" s="122" customFormat="1" ht="15" customHeight="1">
      <c r="A57" s="113">
        <v>12</v>
      </c>
      <c r="B57" s="114" t="s">
        <v>58</v>
      </c>
      <c r="C57" s="115"/>
      <c r="D57" s="116">
        <v>0.05</v>
      </c>
      <c r="E57" s="117">
        <f t="shared" si="39"/>
        <v>83849.150000000009</v>
      </c>
      <c r="F57" s="116"/>
      <c r="G57" s="117">
        <f t="shared" si="16"/>
        <v>0</v>
      </c>
      <c r="H57" s="116"/>
      <c r="I57" s="117">
        <f t="shared" si="40"/>
        <v>0</v>
      </c>
      <c r="J57" s="116"/>
      <c r="K57" s="117">
        <f t="shared" si="26"/>
        <v>0</v>
      </c>
      <c r="L57" s="116"/>
      <c r="M57" s="117">
        <f t="shared" si="32"/>
        <v>0</v>
      </c>
      <c r="N57" s="116"/>
      <c r="O57" s="117">
        <f t="shared" si="19"/>
        <v>0</v>
      </c>
      <c r="P57" s="116"/>
      <c r="Q57" s="117">
        <f t="shared" si="20"/>
        <v>0</v>
      </c>
      <c r="R57" s="116"/>
      <c r="S57" s="117">
        <f t="shared" si="21"/>
        <v>0</v>
      </c>
      <c r="T57" s="116"/>
      <c r="U57" s="117">
        <f t="shared" si="27"/>
        <v>0</v>
      </c>
      <c r="V57" s="116">
        <v>1</v>
      </c>
      <c r="W57" s="117">
        <f t="shared" si="22"/>
        <v>83849.150000000009</v>
      </c>
      <c r="X57" s="116"/>
      <c r="Y57" s="117">
        <f t="shared" si="28"/>
        <v>0</v>
      </c>
      <c r="Z57" s="116"/>
      <c r="AA57" s="117">
        <f t="shared" si="23"/>
        <v>0</v>
      </c>
      <c r="AB57" s="116"/>
      <c r="AC57" s="117">
        <f t="shared" si="29"/>
        <v>0</v>
      </c>
      <c r="AD57" s="116"/>
      <c r="AE57" s="117">
        <f t="shared" si="24"/>
        <v>0</v>
      </c>
      <c r="AF57" s="116"/>
      <c r="AG57" s="118">
        <f t="shared" si="33"/>
        <v>0</v>
      </c>
      <c r="AH57" s="217"/>
      <c r="AI57" s="220"/>
      <c r="AJ57" s="220"/>
      <c r="AK57" s="150">
        <f t="shared" si="41"/>
        <v>0</v>
      </c>
      <c r="AL57" s="119">
        <f t="shared" si="41"/>
        <v>0</v>
      </c>
      <c r="AM57" s="120">
        <f t="shared" si="10"/>
        <v>0</v>
      </c>
      <c r="AN57" s="120">
        <v>0</v>
      </c>
      <c r="AO57" s="164">
        <f t="shared" si="11"/>
        <v>0</v>
      </c>
      <c r="AP57" s="150">
        <v>0</v>
      </c>
      <c r="AQ57" s="119">
        <f t="shared" si="12"/>
        <v>0</v>
      </c>
      <c r="AR57" s="150">
        <f t="shared" si="9"/>
        <v>0</v>
      </c>
      <c r="AS57" s="165">
        <f t="shared" si="13"/>
        <v>0</v>
      </c>
      <c r="AT57" s="181">
        <f>100%-AK57</f>
        <v>1</v>
      </c>
      <c r="AU57" s="167">
        <f t="shared" si="14"/>
        <v>83849.150000000009</v>
      </c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</row>
    <row r="58" spans="1:59" s="122" customFormat="1" ht="15" customHeight="1">
      <c r="A58" s="113">
        <v>13</v>
      </c>
      <c r="B58" s="114" t="s">
        <v>69</v>
      </c>
      <c r="C58" s="115"/>
      <c r="D58" s="116">
        <v>0.05</v>
      </c>
      <c r="E58" s="117">
        <f t="shared" si="39"/>
        <v>83849.150000000009</v>
      </c>
      <c r="F58" s="116"/>
      <c r="G58" s="117">
        <f t="shared" si="16"/>
        <v>0</v>
      </c>
      <c r="H58" s="116"/>
      <c r="I58" s="117">
        <f t="shared" si="40"/>
        <v>0</v>
      </c>
      <c r="J58" s="116"/>
      <c r="K58" s="117">
        <f t="shared" si="26"/>
        <v>0</v>
      </c>
      <c r="L58" s="116"/>
      <c r="M58" s="117">
        <f t="shared" si="32"/>
        <v>0</v>
      </c>
      <c r="N58" s="116"/>
      <c r="O58" s="117">
        <f t="shared" si="19"/>
        <v>0</v>
      </c>
      <c r="P58" s="116"/>
      <c r="Q58" s="117">
        <f t="shared" si="20"/>
        <v>0</v>
      </c>
      <c r="R58" s="116"/>
      <c r="S58" s="117">
        <f t="shared" si="21"/>
        <v>0</v>
      </c>
      <c r="T58" s="116"/>
      <c r="U58" s="117">
        <f t="shared" si="27"/>
        <v>0</v>
      </c>
      <c r="V58" s="116"/>
      <c r="W58" s="117">
        <f t="shared" si="22"/>
        <v>0</v>
      </c>
      <c r="X58" s="116"/>
      <c r="Y58" s="117">
        <f t="shared" si="28"/>
        <v>0</v>
      </c>
      <c r="Z58" s="116"/>
      <c r="AA58" s="117">
        <f t="shared" si="23"/>
        <v>0</v>
      </c>
      <c r="AB58" s="116"/>
      <c r="AC58" s="117">
        <f t="shared" si="29"/>
        <v>0</v>
      </c>
      <c r="AD58" s="116">
        <v>1</v>
      </c>
      <c r="AE58" s="117">
        <f t="shared" si="24"/>
        <v>83849.150000000009</v>
      </c>
      <c r="AF58" s="116"/>
      <c r="AG58" s="118">
        <f t="shared" si="33"/>
        <v>0</v>
      </c>
      <c r="AH58" s="218"/>
      <c r="AI58" s="221"/>
      <c r="AJ58" s="221"/>
      <c r="AK58" s="150">
        <f t="shared" si="41"/>
        <v>0</v>
      </c>
      <c r="AL58" s="119">
        <f t="shared" si="41"/>
        <v>0</v>
      </c>
      <c r="AM58" s="120">
        <f t="shared" si="10"/>
        <v>0</v>
      </c>
      <c r="AN58" s="120">
        <v>0</v>
      </c>
      <c r="AO58" s="164">
        <f t="shared" si="11"/>
        <v>0</v>
      </c>
      <c r="AP58" s="150">
        <v>0</v>
      </c>
      <c r="AQ58" s="119">
        <f t="shared" si="12"/>
        <v>0</v>
      </c>
      <c r="AR58" s="150">
        <f t="shared" si="9"/>
        <v>0</v>
      </c>
      <c r="AS58" s="165">
        <f t="shared" si="13"/>
        <v>0</v>
      </c>
      <c r="AT58" s="181"/>
      <c r="AU58" s="167">
        <f t="shared" si="14"/>
        <v>0</v>
      </c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</row>
    <row r="59" spans="1:59" ht="15" customHeight="1">
      <c r="A59" s="74" t="s">
        <v>60</v>
      </c>
      <c r="B59" s="75" t="s">
        <v>70</v>
      </c>
      <c r="C59" s="76">
        <v>5270517</v>
      </c>
      <c r="D59" s="77"/>
      <c r="E59" s="78"/>
      <c r="F59" s="79"/>
      <c r="G59" s="80">
        <f t="shared" si="16"/>
        <v>0</v>
      </c>
      <c r="H59" s="79"/>
      <c r="I59" s="80"/>
      <c r="J59" s="80"/>
      <c r="K59" s="80">
        <f t="shared" si="26"/>
        <v>0</v>
      </c>
      <c r="L59" s="79"/>
      <c r="M59" s="80">
        <f t="shared" si="32"/>
        <v>0</v>
      </c>
      <c r="N59" s="80"/>
      <c r="O59" s="80">
        <f t="shared" si="19"/>
        <v>0</v>
      </c>
      <c r="P59" s="79"/>
      <c r="Q59" s="80">
        <f t="shared" si="20"/>
        <v>0</v>
      </c>
      <c r="R59" s="80"/>
      <c r="S59" s="80">
        <f t="shared" si="21"/>
        <v>0</v>
      </c>
      <c r="T59" s="79"/>
      <c r="U59" s="80">
        <f t="shared" si="27"/>
        <v>0</v>
      </c>
      <c r="V59" s="80"/>
      <c r="W59" s="80">
        <f t="shared" si="22"/>
        <v>0</v>
      </c>
      <c r="X59" s="79"/>
      <c r="Y59" s="80">
        <f t="shared" si="28"/>
        <v>0</v>
      </c>
      <c r="Z59" s="80"/>
      <c r="AA59" s="80">
        <f t="shared" si="23"/>
        <v>0</v>
      </c>
      <c r="AB59" s="79"/>
      <c r="AC59" s="80">
        <f t="shared" si="29"/>
        <v>0</v>
      </c>
      <c r="AD59" s="80"/>
      <c r="AE59" s="80">
        <f t="shared" si="24"/>
        <v>0</v>
      </c>
      <c r="AF59" s="79"/>
      <c r="AG59" s="81">
        <f t="shared" si="33"/>
        <v>0</v>
      </c>
      <c r="AH59" s="216">
        <f>SUM(E60:E71)</f>
        <v>5270516.9999999991</v>
      </c>
      <c r="AI59" s="219">
        <f>SUM(Y60:Y71)+SUM(AC60:AC71)+SUM(M60:M71)+SUM(G60:G71)+SUM(I60:I71)+SUM(Q60:Q71)+SUM(U60:U71)+SUM(AG60:AG71)</f>
        <v>2055501.63</v>
      </c>
      <c r="AJ59" s="222">
        <f>AI59/AH59</f>
        <v>0.39000000000000007</v>
      </c>
      <c r="AK59" s="17">
        <f t="shared" si="41"/>
        <v>0</v>
      </c>
      <c r="AL59" s="23">
        <f t="shared" si="41"/>
        <v>0</v>
      </c>
      <c r="AM59" s="4">
        <f t="shared" si="10"/>
        <v>0</v>
      </c>
      <c r="AN59" s="4">
        <v>0</v>
      </c>
      <c r="AO59" s="136">
        <f t="shared" si="11"/>
        <v>0</v>
      </c>
      <c r="AP59" s="17">
        <v>0</v>
      </c>
      <c r="AQ59" s="23">
        <f t="shared" si="12"/>
        <v>0</v>
      </c>
      <c r="AR59" s="17">
        <f t="shared" si="9"/>
        <v>0</v>
      </c>
      <c r="AS59" s="141">
        <f t="shared" si="13"/>
        <v>0</v>
      </c>
      <c r="AT59" s="158"/>
      <c r="AU59" s="146">
        <f t="shared" si="14"/>
        <v>0</v>
      </c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</row>
    <row r="60" spans="1:59" s="122" customFormat="1" ht="15" customHeight="1">
      <c r="A60" s="113">
        <v>1</v>
      </c>
      <c r="B60" s="182" t="s">
        <v>34</v>
      </c>
      <c r="C60" s="115"/>
      <c r="D60" s="116">
        <v>0.02</v>
      </c>
      <c r="E60" s="117">
        <f t="shared" ref="E60:E71" si="42">+D60*$C$59</f>
        <v>105410.34</v>
      </c>
      <c r="F60" s="116">
        <v>1</v>
      </c>
      <c r="G60" s="117">
        <f t="shared" si="16"/>
        <v>105410.34</v>
      </c>
      <c r="H60" s="116"/>
      <c r="I60" s="117">
        <f t="shared" ref="I60:I66" si="43">+H60*$E60</f>
        <v>0</v>
      </c>
      <c r="J60" s="116"/>
      <c r="K60" s="117">
        <f t="shared" si="26"/>
        <v>0</v>
      </c>
      <c r="L60" s="116"/>
      <c r="M60" s="117">
        <f t="shared" si="32"/>
        <v>0</v>
      </c>
      <c r="N60" s="116"/>
      <c r="O60" s="117">
        <f t="shared" si="19"/>
        <v>0</v>
      </c>
      <c r="P60" s="116"/>
      <c r="Q60" s="117">
        <f t="shared" si="20"/>
        <v>0</v>
      </c>
      <c r="R60" s="116"/>
      <c r="S60" s="117">
        <f t="shared" si="21"/>
        <v>0</v>
      </c>
      <c r="T60" s="116"/>
      <c r="U60" s="117">
        <f t="shared" si="27"/>
        <v>0</v>
      </c>
      <c r="V60" s="116"/>
      <c r="W60" s="117">
        <f t="shared" si="22"/>
        <v>0</v>
      </c>
      <c r="X60" s="116"/>
      <c r="Y60" s="117">
        <f t="shared" si="28"/>
        <v>0</v>
      </c>
      <c r="Z60" s="116"/>
      <c r="AA60" s="117">
        <f t="shared" si="23"/>
        <v>0</v>
      </c>
      <c r="AB60" s="116"/>
      <c r="AC60" s="117">
        <f t="shared" si="29"/>
        <v>0</v>
      </c>
      <c r="AD60" s="116"/>
      <c r="AE60" s="117">
        <f t="shared" si="24"/>
        <v>0</v>
      </c>
      <c r="AF60" s="116"/>
      <c r="AG60" s="118">
        <f t="shared" si="33"/>
        <v>0</v>
      </c>
      <c r="AH60" s="217"/>
      <c r="AI60" s="220"/>
      <c r="AJ60" s="220"/>
      <c r="AK60" s="150">
        <f t="shared" si="41"/>
        <v>1</v>
      </c>
      <c r="AL60" s="119">
        <f t="shared" si="41"/>
        <v>105410.34</v>
      </c>
      <c r="AM60" s="120">
        <f t="shared" si="10"/>
        <v>1</v>
      </c>
      <c r="AN60" s="120">
        <v>1</v>
      </c>
      <c r="AO60" s="164">
        <f t="shared" si="11"/>
        <v>0</v>
      </c>
      <c r="AP60" s="150">
        <v>1</v>
      </c>
      <c r="AQ60" s="119">
        <f t="shared" si="12"/>
        <v>105410.34</v>
      </c>
      <c r="AR60" s="150">
        <f t="shared" si="9"/>
        <v>0</v>
      </c>
      <c r="AS60" s="165">
        <f t="shared" si="13"/>
        <v>0</v>
      </c>
      <c r="AT60" s="181"/>
      <c r="AU60" s="167">
        <f t="shared" si="14"/>
        <v>0</v>
      </c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1"/>
    </row>
    <row r="61" spans="1:59" s="122" customFormat="1" ht="15" customHeight="1">
      <c r="A61" s="113">
        <v>2</v>
      </c>
      <c r="B61" s="182" t="s">
        <v>47</v>
      </c>
      <c r="C61" s="115"/>
      <c r="D61" s="116">
        <v>0.05</v>
      </c>
      <c r="E61" s="117">
        <f t="shared" si="42"/>
        <v>263525.85000000003</v>
      </c>
      <c r="F61" s="116"/>
      <c r="G61" s="117">
        <f t="shared" si="16"/>
        <v>0</v>
      </c>
      <c r="H61" s="116">
        <v>1</v>
      </c>
      <c r="I61" s="117">
        <f t="shared" si="43"/>
        <v>263525.85000000003</v>
      </c>
      <c r="J61" s="116"/>
      <c r="K61" s="117">
        <f t="shared" si="26"/>
        <v>0</v>
      </c>
      <c r="L61" s="116"/>
      <c r="M61" s="117">
        <f t="shared" si="32"/>
        <v>0</v>
      </c>
      <c r="N61" s="116"/>
      <c r="O61" s="117">
        <f t="shared" si="19"/>
        <v>0</v>
      </c>
      <c r="P61" s="116"/>
      <c r="Q61" s="117">
        <f t="shared" si="20"/>
        <v>0</v>
      </c>
      <c r="R61" s="116"/>
      <c r="S61" s="117">
        <f t="shared" si="21"/>
        <v>0</v>
      </c>
      <c r="T61" s="116"/>
      <c r="U61" s="117">
        <f t="shared" si="27"/>
        <v>0</v>
      </c>
      <c r="V61" s="116"/>
      <c r="W61" s="117">
        <f t="shared" si="22"/>
        <v>0</v>
      </c>
      <c r="X61" s="116"/>
      <c r="Y61" s="117">
        <f t="shared" si="28"/>
        <v>0</v>
      </c>
      <c r="Z61" s="116"/>
      <c r="AA61" s="117">
        <f t="shared" si="23"/>
        <v>0</v>
      </c>
      <c r="AB61" s="116"/>
      <c r="AC61" s="117">
        <f t="shared" si="29"/>
        <v>0</v>
      </c>
      <c r="AD61" s="116"/>
      <c r="AE61" s="117">
        <f t="shared" si="24"/>
        <v>0</v>
      </c>
      <c r="AF61" s="116"/>
      <c r="AG61" s="118">
        <f t="shared" si="33"/>
        <v>0</v>
      </c>
      <c r="AH61" s="217"/>
      <c r="AI61" s="220"/>
      <c r="AJ61" s="220"/>
      <c r="AK61" s="150">
        <f t="shared" si="41"/>
        <v>1</v>
      </c>
      <c r="AL61" s="119">
        <f t="shared" si="41"/>
        <v>263525.85000000003</v>
      </c>
      <c r="AM61" s="120">
        <f t="shared" si="10"/>
        <v>1</v>
      </c>
      <c r="AN61" s="120">
        <v>1</v>
      </c>
      <c r="AO61" s="164">
        <f t="shared" si="11"/>
        <v>0</v>
      </c>
      <c r="AP61" s="150">
        <v>1</v>
      </c>
      <c r="AQ61" s="119">
        <f t="shared" si="12"/>
        <v>263525.85000000003</v>
      </c>
      <c r="AR61" s="150">
        <f t="shared" si="9"/>
        <v>0</v>
      </c>
      <c r="AS61" s="165">
        <f t="shared" si="13"/>
        <v>0</v>
      </c>
      <c r="AT61" s="181"/>
      <c r="AU61" s="167">
        <f t="shared" si="14"/>
        <v>0</v>
      </c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</row>
    <row r="62" spans="1:59" s="122" customFormat="1" ht="15" customHeight="1">
      <c r="A62" s="113">
        <v>3</v>
      </c>
      <c r="B62" s="182" t="s">
        <v>48</v>
      </c>
      <c r="C62" s="115"/>
      <c r="D62" s="116">
        <v>7.0000000000000007E-2</v>
      </c>
      <c r="E62" s="117">
        <f t="shared" si="42"/>
        <v>368936.19000000006</v>
      </c>
      <c r="F62" s="116"/>
      <c r="G62" s="117">
        <f t="shared" si="16"/>
        <v>0</v>
      </c>
      <c r="H62" s="116"/>
      <c r="I62" s="117">
        <f t="shared" si="43"/>
        <v>0</v>
      </c>
      <c r="J62" s="116">
        <v>1</v>
      </c>
      <c r="K62" s="117">
        <f t="shared" si="26"/>
        <v>368936.19000000006</v>
      </c>
      <c r="L62" s="116">
        <v>1</v>
      </c>
      <c r="M62" s="117">
        <f t="shared" si="32"/>
        <v>368936.19000000006</v>
      </c>
      <c r="N62" s="116"/>
      <c r="O62" s="117">
        <f t="shared" si="19"/>
        <v>0</v>
      </c>
      <c r="P62" s="116"/>
      <c r="Q62" s="117">
        <f t="shared" si="20"/>
        <v>0</v>
      </c>
      <c r="R62" s="116"/>
      <c r="S62" s="117">
        <f t="shared" si="21"/>
        <v>0</v>
      </c>
      <c r="T62" s="116"/>
      <c r="U62" s="117">
        <f t="shared" si="27"/>
        <v>0</v>
      </c>
      <c r="V62" s="116"/>
      <c r="W62" s="117">
        <f t="shared" si="22"/>
        <v>0</v>
      </c>
      <c r="X62" s="116"/>
      <c r="Y62" s="117">
        <f t="shared" si="28"/>
        <v>0</v>
      </c>
      <c r="Z62" s="116"/>
      <c r="AA62" s="117">
        <f t="shared" si="23"/>
        <v>0</v>
      </c>
      <c r="AB62" s="116"/>
      <c r="AC62" s="117">
        <f t="shared" si="29"/>
        <v>0</v>
      </c>
      <c r="AD62" s="116"/>
      <c r="AE62" s="117">
        <f t="shared" si="24"/>
        <v>0</v>
      </c>
      <c r="AF62" s="116"/>
      <c r="AG62" s="118">
        <f t="shared" si="33"/>
        <v>0</v>
      </c>
      <c r="AH62" s="217"/>
      <c r="AI62" s="220"/>
      <c r="AJ62" s="220"/>
      <c r="AK62" s="150">
        <f t="shared" si="41"/>
        <v>1</v>
      </c>
      <c r="AL62" s="119">
        <f t="shared" si="41"/>
        <v>368936.19000000006</v>
      </c>
      <c r="AM62" s="120">
        <f t="shared" si="10"/>
        <v>1</v>
      </c>
      <c r="AN62" s="120">
        <v>1</v>
      </c>
      <c r="AO62" s="164">
        <f t="shared" si="11"/>
        <v>0</v>
      </c>
      <c r="AP62" s="150">
        <v>1</v>
      </c>
      <c r="AQ62" s="119">
        <f t="shared" si="12"/>
        <v>368936.19000000006</v>
      </c>
      <c r="AR62" s="150">
        <f t="shared" si="9"/>
        <v>0</v>
      </c>
      <c r="AS62" s="165">
        <f t="shared" si="13"/>
        <v>0</v>
      </c>
      <c r="AT62" s="181"/>
      <c r="AU62" s="167">
        <f t="shared" si="14"/>
        <v>0</v>
      </c>
      <c r="AV62" s="121"/>
      <c r="AW62" s="121"/>
      <c r="AX62" s="121"/>
      <c r="AY62" s="121"/>
      <c r="AZ62" s="121"/>
      <c r="BA62" s="121"/>
      <c r="BB62" s="121"/>
      <c r="BC62" s="121"/>
      <c r="BD62" s="121"/>
      <c r="BE62" s="121"/>
      <c r="BF62" s="121"/>
      <c r="BG62" s="121"/>
    </row>
    <row r="63" spans="1:59" s="122" customFormat="1" ht="15" customHeight="1">
      <c r="A63" s="113">
        <v>4</v>
      </c>
      <c r="B63" s="182" t="s">
        <v>71</v>
      </c>
      <c r="C63" s="115"/>
      <c r="D63" s="116">
        <v>0.1</v>
      </c>
      <c r="E63" s="117">
        <f t="shared" si="42"/>
        <v>527051.70000000007</v>
      </c>
      <c r="F63" s="116"/>
      <c r="G63" s="117">
        <f t="shared" si="16"/>
        <v>0</v>
      </c>
      <c r="H63" s="116"/>
      <c r="I63" s="117">
        <f t="shared" si="43"/>
        <v>0</v>
      </c>
      <c r="J63" s="116">
        <v>1</v>
      </c>
      <c r="K63" s="117">
        <f t="shared" si="26"/>
        <v>527051.70000000007</v>
      </c>
      <c r="L63" s="116">
        <v>1</v>
      </c>
      <c r="M63" s="117">
        <f t="shared" si="32"/>
        <v>527051.70000000007</v>
      </c>
      <c r="N63" s="116"/>
      <c r="O63" s="117">
        <f t="shared" si="19"/>
        <v>0</v>
      </c>
      <c r="P63" s="116"/>
      <c r="Q63" s="117">
        <f t="shared" si="20"/>
        <v>0</v>
      </c>
      <c r="R63" s="116"/>
      <c r="S63" s="117">
        <f t="shared" si="21"/>
        <v>0</v>
      </c>
      <c r="T63" s="116"/>
      <c r="U63" s="117">
        <f t="shared" si="27"/>
        <v>0</v>
      </c>
      <c r="V63" s="116"/>
      <c r="W63" s="117">
        <f t="shared" si="22"/>
        <v>0</v>
      </c>
      <c r="X63" s="116"/>
      <c r="Y63" s="117">
        <f t="shared" si="28"/>
        <v>0</v>
      </c>
      <c r="Z63" s="116"/>
      <c r="AA63" s="117">
        <f t="shared" si="23"/>
        <v>0</v>
      </c>
      <c r="AB63" s="116"/>
      <c r="AC63" s="117">
        <f t="shared" si="29"/>
        <v>0</v>
      </c>
      <c r="AD63" s="116"/>
      <c r="AE63" s="117">
        <f t="shared" si="24"/>
        <v>0</v>
      </c>
      <c r="AF63" s="116"/>
      <c r="AG63" s="118">
        <f t="shared" si="33"/>
        <v>0</v>
      </c>
      <c r="AH63" s="217"/>
      <c r="AI63" s="220"/>
      <c r="AJ63" s="220"/>
      <c r="AK63" s="150">
        <f t="shared" si="41"/>
        <v>1</v>
      </c>
      <c r="AL63" s="119">
        <f t="shared" si="41"/>
        <v>527051.70000000007</v>
      </c>
      <c r="AM63" s="120">
        <f t="shared" si="10"/>
        <v>1</v>
      </c>
      <c r="AN63" s="120">
        <v>1</v>
      </c>
      <c r="AO63" s="164">
        <f t="shared" si="11"/>
        <v>0</v>
      </c>
      <c r="AP63" s="150">
        <v>1</v>
      </c>
      <c r="AQ63" s="119">
        <f t="shared" si="12"/>
        <v>527051.70000000007</v>
      </c>
      <c r="AR63" s="150">
        <f t="shared" si="9"/>
        <v>0</v>
      </c>
      <c r="AS63" s="165">
        <f t="shared" si="13"/>
        <v>0</v>
      </c>
      <c r="AT63" s="181"/>
      <c r="AU63" s="167">
        <f t="shared" si="14"/>
        <v>0</v>
      </c>
      <c r="AV63" s="121"/>
      <c r="AW63" s="121"/>
      <c r="AX63" s="121"/>
      <c r="AY63" s="121"/>
      <c r="AZ63" s="121"/>
      <c r="BA63" s="121"/>
      <c r="BB63" s="121"/>
      <c r="BC63" s="121"/>
      <c r="BD63" s="121"/>
      <c r="BE63" s="121"/>
      <c r="BF63" s="121"/>
      <c r="BG63" s="121"/>
    </row>
    <row r="64" spans="1:59" s="122" customFormat="1" ht="15" customHeight="1">
      <c r="A64" s="113">
        <v>5</v>
      </c>
      <c r="B64" s="182" t="s">
        <v>72</v>
      </c>
      <c r="C64" s="115"/>
      <c r="D64" s="116">
        <v>0.15</v>
      </c>
      <c r="E64" s="117">
        <f t="shared" si="42"/>
        <v>790577.54999999993</v>
      </c>
      <c r="F64" s="116"/>
      <c r="G64" s="117">
        <f t="shared" si="16"/>
        <v>0</v>
      </c>
      <c r="H64" s="116"/>
      <c r="I64" s="117">
        <f t="shared" si="43"/>
        <v>0</v>
      </c>
      <c r="J64" s="116"/>
      <c r="K64" s="117">
        <f t="shared" si="26"/>
        <v>0</v>
      </c>
      <c r="L64" s="116"/>
      <c r="M64" s="117">
        <f t="shared" si="32"/>
        <v>0</v>
      </c>
      <c r="N64" s="116">
        <v>1</v>
      </c>
      <c r="O64" s="117">
        <f t="shared" si="19"/>
        <v>790577.54999999993</v>
      </c>
      <c r="P64" s="116">
        <v>1</v>
      </c>
      <c r="Q64" s="117">
        <f t="shared" si="20"/>
        <v>790577.54999999993</v>
      </c>
      <c r="R64" s="116"/>
      <c r="S64" s="117">
        <f t="shared" si="21"/>
        <v>0</v>
      </c>
      <c r="T64" s="116"/>
      <c r="U64" s="117">
        <f t="shared" si="27"/>
        <v>0</v>
      </c>
      <c r="V64" s="116"/>
      <c r="W64" s="117">
        <f t="shared" si="22"/>
        <v>0</v>
      </c>
      <c r="X64" s="116"/>
      <c r="Y64" s="117">
        <f t="shared" si="28"/>
        <v>0</v>
      </c>
      <c r="Z64" s="116"/>
      <c r="AA64" s="117">
        <f t="shared" si="23"/>
        <v>0</v>
      </c>
      <c r="AB64" s="116"/>
      <c r="AC64" s="117">
        <f t="shared" si="29"/>
        <v>0</v>
      </c>
      <c r="AD64" s="116"/>
      <c r="AE64" s="117">
        <f t="shared" si="24"/>
        <v>0</v>
      </c>
      <c r="AF64" s="116"/>
      <c r="AG64" s="118">
        <f t="shared" si="33"/>
        <v>0</v>
      </c>
      <c r="AH64" s="217"/>
      <c r="AI64" s="220"/>
      <c r="AJ64" s="220"/>
      <c r="AK64" s="150">
        <f t="shared" si="41"/>
        <v>1</v>
      </c>
      <c r="AL64" s="119">
        <f t="shared" si="41"/>
        <v>790577.54999999993</v>
      </c>
      <c r="AM64" s="120">
        <f t="shared" si="10"/>
        <v>1</v>
      </c>
      <c r="AN64" s="120">
        <v>1</v>
      </c>
      <c r="AO64" s="164">
        <f t="shared" si="11"/>
        <v>0</v>
      </c>
      <c r="AP64" s="150">
        <v>1</v>
      </c>
      <c r="AQ64" s="119">
        <f t="shared" si="12"/>
        <v>790577.54999999993</v>
      </c>
      <c r="AR64" s="150">
        <f t="shared" si="9"/>
        <v>0</v>
      </c>
      <c r="AS64" s="165">
        <f t="shared" si="13"/>
        <v>0</v>
      </c>
      <c r="AT64" s="181"/>
      <c r="AU64" s="167">
        <f t="shared" si="14"/>
        <v>0</v>
      </c>
      <c r="AV64" s="121"/>
      <c r="AW64" s="121"/>
      <c r="AX64" s="121"/>
      <c r="AY64" s="121"/>
      <c r="AZ64" s="121"/>
      <c r="BA64" s="121"/>
      <c r="BB64" s="121"/>
      <c r="BC64" s="121"/>
      <c r="BD64" s="121"/>
      <c r="BE64" s="121"/>
      <c r="BF64" s="121"/>
      <c r="BG64" s="121"/>
    </row>
    <row r="65" spans="1:59" s="122" customFormat="1" ht="15" customHeight="1">
      <c r="A65" s="113">
        <v>6</v>
      </c>
      <c r="B65" s="182" t="s">
        <v>73</v>
      </c>
      <c r="C65" s="115"/>
      <c r="D65" s="116">
        <v>0.15</v>
      </c>
      <c r="E65" s="117">
        <f t="shared" si="42"/>
        <v>790577.54999999993</v>
      </c>
      <c r="F65" s="116"/>
      <c r="G65" s="117">
        <f t="shared" si="16"/>
        <v>0</v>
      </c>
      <c r="H65" s="116"/>
      <c r="I65" s="117">
        <f t="shared" si="43"/>
        <v>0</v>
      </c>
      <c r="J65" s="116"/>
      <c r="K65" s="117">
        <f t="shared" si="26"/>
        <v>0</v>
      </c>
      <c r="L65" s="116"/>
      <c r="M65" s="117">
        <f t="shared" si="32"/>
        <v>0</v>
      </c>
      <c r="N65" s="116"/>
      <c r="O65" s="117">
        <f t="shared" si="19"/>
        <v>0</v>
      </c>
      <c r="P65" s="116"/>
      <c r="Q65" s="117">
        <f t="shared" si="20"/>
        <v>0</v>
      </c>
      <c r="R65" s="116">
        <v>1</v>
      </c>
      <c r="S65" s="117">
        <f t="shared" si="21"/>
        <v>790577.54999999993</v>
      </c>
      <c r="T65" s="116"/>
      <c r="U65" s="117">
        <f t="shared" si="27"/>
        <v>0</v>
      </c>
      <c r="V65" s="116"/>
      <c r="W65" s="117">
        <f t="shared" si="22"/>
        <v>0</v>
      </c>
      <c r="X65" s="116"/>
      <c r="Y65" s="117">
        <f t="shared" si="28"/>
        <v>0</v>
      </c>
      <c r="Z65" s="116"/>
      <c r="AA65" s="117">
        <f t="shared" si="23"/>
        <v>0</v>
      </c>
      <c r="AB65" s="116"/>
      <c r="AC65" s="117">
        <f t="shared" si="29"/>
        <v>0</v>
      </c>
      <c r="AD65" s="116"/>
      <c r="AE65" s="117">
        <f t="shared" si="24"/>
        <v>0</v>
      </c>
      <c r="AF65" s="116"/>
      <c r="AG65" s="118">
        <f t="shared" si="33"/>
        <v>0</v>
      </c>
      <c r="AH65" s="217"/>
      <c r="AI65" s="220"/>
      <c r="AJ65" s="220"/>
      <c r="AK65" s="150">
        <f t="shared" si="41"/>
        <v>0</v>
      </c>
      <c r="AL65" s="119">
        <f t="shared" si="41"/>
        <v>0</v>
      </c>
      <c r="AM65" s="120">
        <f t="shared" si="10"/>
        <v>0</v>
      </c>
      <c r="AN65" s="120">
        <v>0</v>
      </c>
      <c r="AO65" s="164">
        <f t="shared" si="11"/>
        <v>0</v>
      </c>
      <c r="AP65" s="150">
        <v>0</v>
      </c>
      <c r="AQ65" s="119">
        <f t="shared" si="12"/>
        <v>0</v>
      </c>
      <c r="AR65" s="150">
        <f t="shared" si="9"/>
        <v>0</v>
      </c>
      <c r="AS65" s="165">
        <f t="shared" si="13"/>
        <v>0</v>
      </c>
      <c r="AT65" s="181">
        <f>100%-AK65</f>
        <v>1</v>
      </c>
      <c r="AU65" s="167">
        <f t="shared" si="14"/>
        <v>790577.54999999993</v>
      </c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</row>
    <row r="66" spans="1:59" s="122" customFormat="1" ht="15" customHeight="1">
      <c r="A66" s="113">
        <v>7</v>
      </c>
      <c r="B66" s="182" t="s">
        <v>74</v>
      </c>
      <c r="C66" s="115"/>
      <c r="D66" s="116">
        <v>0.08</v>
      </c>
      <c r="E66" s="117">
        <f t="shared" si="42"/>
        <v>421641.36</v>
      </c>
      <c r="F66" s="116"/>
      <c r="G66" s="117">
        <f t="shared" si="16"/>
        <v>0</v>
      </c>
      <c r="H66" s="116"/>
      <c r="I66" s="117">
        <f t="shared" si="43"/>
        <v>0</v>
      </c>
      <c r="J66" s="116"/>
      <c r="K66" s="117">
        <f t="shared" si="26"/>
        <v>0</v>
      </c>
      <c r="L66" s="116"/>
      <c r="M66" s="117">
        <f t="shared" si="32"/>
        <v>0</v>
      </c>
      <c r="N66" s="116"/>
      <c r="O66" s="117">
        <f t="shared" si="19"/>
        <v>0</v>
      </c>
      <c r="P66" s="116"/>
      <c r="Q66" s="117">
        <f t="shared" si="20"/>
        <v>0</v>
      </c>
      <c r="R66" s="116"/>
      <c r="S66" s="117">
        <f t="shared" si="21"/>
        <v>0</v>
      </c>
      <c r="T66" s="116"/>
      <c r="U66" s="117">
        <f t="shared" si="27"/>
        <v>0</v>
      </c>
      <c r="V66" s="116">
        <v>1</v>
      </c>
      <c r="W66" s="117">
        <f t="shared" si="22"/>
        <v>421641.36</v>
      </c>
      <c r="X66" s="116"/>
      <c r="Y66" s="117">
        <f t="shared" si="28"/>
        <v>0</v>
      </c>
      <c r="Z66" s="116"/>
      <c r="AA66" s="117">
        <f t="shared" si="23"/>
        <v>0</v>
      </c>
      <c r="AB66" s="116"/>
      <c r="AC66" s="117">
        <f t="shared" si="29"/>
        <v>0</v>
      </c>
      <c r="AD66" s="116"/>
      <c r="AE66" s="117">
        <f t="shared" si="24"/>
        <v>0</v>
      </c>
      <c r="AF66" s="116"/>
      <c r="AG66" s="118">
        <f t="shared" si="33"/>
        <v>0</v>
      </c>
      <c r="AH66" s="217"/>
      <c r="AI66" s="220"/>
      <c r="AJ66" s="220"/>
      <c r="AK66" s="150">
        <f t="shared" si="41"/>
        <v>0</v>
      </c>
      <c r="AL66" s="119">
        <f t="shared" si="41"/>
        <v>0</v>
      </c>
      <c r="AM66" s="120">
        <f t="shared" si="10"/>
        <v>0</v>
      </c>
      <c r="AN66" s="120">
        <v>0</v>
      </c>
      <c r="AO66" s="164">
        <f t="shared" si="11"/>
        <v>0</v>
      </c>
      <c r="AP66" s="150">
        <v>0</v>
      </c>
      <c r="AQ66" s="119">
        <f t="shared" si="12"/>
        <v>0</v>
      </c>
      <c r="AR66" s="150">
        <f t="shared" si="9"/>
        <v>0</v>
      </c>
      <c r="AS66" s="165">
        <f t="shared" si="13"/>
        <v>0</v>
      </c>
      <c r="AT66" s="181"/>
      <c r="AU66" s="167">
        <f t="shared" si="14"/>
        <v>0</v>
      </c>
      <c r="AV66" s="121"/>
      <c r="AW66" s="121"/>
      <c r="AX66" s="121"/>
      <c r="AY66" s="121"/>
      <c r="AZ66" s="121"/>
      <c r="BA66" s="121"/>
      <c r="BB66" s="121"/>
      <c r="BC66" s="121"/>
      <c r="BD66" s="121"/>
      <c r="BE66" s="121"/>
      <c r="BF66" s="121"/>
      <c r="BG66" s="121"/>
    </row>
    <row r="67" spans="1:59" s="122" customFormat="1" ht="15" customHeight="1">
      <c r="A67" s="113">
        <v>8</v>
      </c>
      <c r="B67" s="182" t="s">
        <v>75</v>
      </c>
      <c r="C67" s="115"/>
      <c r="D67" s="116">
        <v>0.13</v>
      </c>
      <c r="E67" s="117">
        <f t="shared" si="42"/>
        <v>685167.21000000008</v>
      </c>
      <c r="F67" s="116"/>
      <c r="G67" s="117">
        <f t="shared" si="16"/>
        <v>0</v>
      </c>
      <c r="H67" s="116"/>
      <c r="I67" s="117"/>
      <c r="J67" s="116"/>
      <c r="K67" s="117">
        <f t="shared" si="26"/>
        <v>0</v>
      </c>
      <c r="L67" s="116"/>
      <c r="M67" s="117">
        <f t="shared" si="32"/>
        <v>0</v>
      </c>
      <c r="N67" s="116"/>
      <c r="O67" s="117">
        <f t="shared" si="19"/>
        <v>0</v>
      </c>
      <c r="P67" s="116"/>
      <c r="Q67" s="117">
        <f t="shared" si="20"/>
        <v>0</v>
      </c>
      <c r="R67" s="116"/>
      <c r="S67" s="117">
        <f t="shared" si="21"/>
        <v>0</v>
      </c>
      <c r="T67" s="116"/>
      <c r="U67" s="117">
        <f t="shared" si="27"/>
        <v>0</v>
      </c>
      <c r="V67" s="116">
        <v>1</v>
      </c>
      <c r="W67" s="117">
        <f t="shared" si="22"/>
        <v>685167.21000000008</v>
      </c>
      <c r="X67" s="116"/>
      <c r="Y67" s="117">
        <f t="shared" si="28"/>
        <v>0</v>
      </c>
      <c r="Z67" s="116"/>
      <c r="AA67" s="117">
        <f t="shared" si="23"/>
        <v>0</v>
      </c>
      <c r="AB67" s="116"/>
      <c r="AC67" s="117">
        <f t="shared" si="29"/>
        <v>0</v>
      </c>
      <c r="AD67" s="116"/>
      <c r="AE67" s="117">
        <f t="shared" si="24"/>
        <v>0</v>
      </c>
      <c r="AF67" s="116"/>
      <c r="AG67" s="118">
        <f t="shared" si="33"/>
        <v>0</v>
      </c>
      <c r="AH67" s="217"/>
      <c r="AI67" s="220"/>
      <c r="AJ67" s="220"/>
      <c r="AK67" s="150">
        <f t="shared" si="41"/>
        <v>0</v>
      </c>
      <c r="AL67" s="119">
        <f t="shared" si="41"/>
        <v>0</v>
      </c>
      <c r="AM67" s="120">
        <f t="shared" si="10"/>
        <v>0</v>
      </c>
      <c r="AN67" s="120">
        <v>0</v>
      </c>
      <c r="AO67" s="164">
        <f t="shared" si="11"/>
        <v>0</v>
      </c>
      <c r="AP67" s="150">
        <v>0</v>
      </c>
      <c r="AQ67" s="119">
        <f t="shared" si="12"/>
        <v>0</v>
      </c>
      <c r="AR67" s="150">
        <f t="shared" si="9"/>
        <v>0</v>
      </c>
      <c r="AS67" s="165">
        <f t="shared" si="13"/>
        <v>0</v>
      </c>
      <c r="AT67" s="181"/>
      <c r="AU67" s="167">
        <f t="shared" si="14"/>
        <v>0</v>
      </c>
      <c r="AV67" s="121"/>
      <c r="AW67" s="121"/>
      <c r="AX67" s="121"/>
      <c r="AY67" s="121"/>
      <c r="AZ67" s="121"/>
      <c r="BA67" s="121"/>
      <c r="BB67" s="121"/>
      <c r="BC67" s="121"/>
      <c r="BD67" s="121"/>
      <c r="BE67" s="121"/>
      <c r="BF67" s="121"/>
      <c r="BG67" s="121"/>
    </row>
    <row r="68" spans="1:59" s="122" customFormat="1" ht="15" customHeight="1">
      <c r="A68" s="113">
        <v>9</v>
      </c>
      <c r="B68" s="182" t="s">
        <v>57</v>
      </c>
      <c r="C68" s="115"/>
      <c r="D68" s="116">
        <v>0.08</v>
      </c>
      <c r="E68" s="117">
        <f t="shared" si="42"/>
        <v>421641.36</v>
      </c>
      <c r="F68" s="116"/>
      <c r="G68" s="117">
        <f t="shared" si="16"/>
        <v>0</v>
      </c>
      <c r="H68" s="116"/>
      <c r="I68" s="117"/>
      <c r="J68" s="116"/>
      <c r="K68" s="117">
        <f t="shared" si="26"/>
        <v>0</v>
      </c>
      <c r="L68" s="116"/>
      <c r="M68" s="117">
        <f t="shared" si="32"/>
        <v>0</v>
      </c>
      <c r="N68" s="116"/>
      <c r="O68" s="117">
        <f t="shared" si="19"/>
        <v>0</v>
      </c>
      <c r="P68" s="116"/>
      <c r="Q68" s="117">
        <f t="shared" si="20"/>
        <v>0</v>
      </c>
      <c r="R68" s="116"/>
      <c r="S68" s="117">
        <f t="shared" si="21"/>
        <v>0</v>
      </c>
      <c r="T68" s="116"/>
      <c r="U68" s="117">
        <f t="shared" si="27"/>
        <v>0</v>
      </c>
      <c r="V68" s="116"/>
      <c r="W68" s="117">
        <f t="shared" si="22"/>
        <v>0</v>
      </c>
      <c r="X68" s="116"/>
      <c r="Y68" s="117">
        <f t="shared" si="28"/>
        <v>0</v>
      </c>
      <c r="Z68" s="116">
        <v>1</v>
      </c>
      <c r="AA68" s="117">
        <f t="shared" si="23"/>
        <v>421641.36</v>
      </c>
      <c r="AB68" s="116"/>
      <c r="AC68" s="117">
        <f t="shared" si="29"/>
        <v>0</v>
      </c>
      <c r="AD68" s="116"/>
      <c r="AE68" s="117">
        <f t="shared" si="24"/>
        <v>0</v>
      </c>
      <c r="AF68" s="116"/>
      <c r="AG68" s="118">
        <f t="shared" si="33"/>
        <v>0</v>
      </c>
      <c r="AH68" s="217"/>
      <c r="AI68" s="220"/>
      <c r="AJ68" s="220"/>
      <c r="AK68" s="150">
        <f t="shared" si="41"/>
        <v>0</v>
      </c>
      <c r="AL68" s="119">
        <f t="shared" si="41"/>
        <v>0</v>
      </c>
      <c r="AM68" s="120">
        <f t="shared" si="10"/>
        <v>0</v>
      </c>
      <c r="AN68" s="120">
        <v>0</v>
      </c>
      <c r="AO68" s="164">
        <f t="shared" si="11"/>
        <v>0</v>
      </c>
      <c r="AP68" s="150">
        <v>0</v>
      </c>
      <c r="AQ68" s="119">
        <f t="shared" si="12"/>
        <v>0</v>
      </c>
      <c r="AR68" s="150">
        <f t="shared" si="9"/>
        <v>0</v>
      </c>
      <c r="AS68" s="165">
        <f t="shared" si="13"/>
        <v>0</v>
      </c>
      <c r="AT68" s="166"/>
      <c r="AU68" s="167">
        <f t="shared" si="14"/>
        <v>0</v>
      </c>
      <c r="AV68" s="124"/>
      <c r="AW68" s="124"/>
      <c r="AX68" s="124"/>
      <c r="AY68" s="124"/>
      <c r="AZ68" s="124"/>
      <c r="BA68" s="124"/>
      <c r="BB68" s="124"/>
      <c r="BC68" s="124"/>
      <c r="BD68" s="124"/>
      <c r="BE68" s="124"/>
      <c r="BF68" s="124"/>
      <c r="BG68" s="124"/>
    </row>
    <row r="69" spans="1:59" s="122" customFormat="1" ht="15" customHeight="1">
      <c r="A69" s="113">
        <v>10</v>
      </c>
      <c r="B69" s="182" t="s">
        <v>76</v>
      </c>
      <c r="C69" s="115"/>
      <c r="D69" s="116">
        <v>7.0000000000000007E-2</v>
      </c>
      <c r="E69" s="117">
        <f t="shared" si="42"/>
        <v>368936.19000000006</v>
      </c>
      <c r="F69" s="116"/>
      <c r="G69" s="117">
        <f t="shared" si="16"/>
        <v>0</v>
      </c>
      <c r="H69" s="116"/>
      <c r="I69" s="117"/>
      <c r="J69" s="116"/>
      <c r="K69" s="117">
        <f t="shared" si="26"/>
        <v>0</v>
      </c>
      <c r="L69" s="116"/>
      <c r="M69" s="117">
        <f t="shared" si="32"/>
        <v>0</v>
      </c>
      <c r="N69" s="116"/>
      <c r="O69" s="117">
        <f t="shared" si="19"/>
        <v>0</v>
      </c>
      <c r="P69" s="116"/>
      <c r="Q69" s="117">
        <f t="shared" si="20"/>
        <v>0</v>
      </c>
      <c r="R69" s="116"/>
      <c r="S69" s="117">
        <f t="shared" si="21"/>
        <v>0</v>
      </c>
      <c r="T69" s="116"/>
      <c r="U69" s="117">
        <f t="shared" si="27"/>
        <v>0</v>
      </c>
      <c r="V69" s="116"/>
      <c r="W69" s="117">
        <f t="shared" si="22"/>
        <v>0</v>
      </c>
      <c r="X69" s="116"/>
      <c r="Y69" s="117">
        <f t="shared" si="28"/>
        <v>0</v>
      </c>
      <c r="Z69" s="116"/>
      <c r="AA69" s="117">
        <f t="shared" si="23"/>
        <v>0</v>
      </c>
      <c r="AB69" s="116"/>
      <c r="AC69" s="117">
        <f t="shared" si="29"/>
        <v>0</v>
      </c>
      <c r="AD69" s="116">
        <v>1</v>
      </c>
      <c r="AE69" s="117">
        <f t="shared" si="24"/>
        <v>368936.19000000006</v>
      </c>
      <c r="AF69" s="116"/>
      <c r="AG69" s="118">
        <f t="shared" si="33"/>
        <v>0</v>
      </c>
      <c r="AH69" s="217"/>
      <c r="AI69" s="220"/>
      <c r="AJ69" s="220"/>
      <c r="AK69" s="150">
        <f t="shared" si="41"/>
        <v>0</v>
      </c>
      <c r="AL69" s="119">
        <f t="shared" si="41"/>
        <v>0</v>
      </c>
      <c r="AM69" s="120">
        <f t="shared" si="10"/>
        <v>0</v>
      </c>
      <c r="AN69" s="120">
        <v>0</v>
      </c>
      <c r="AO69" s="164">
        <f t="shared" si="11"/>
        <v>0</v>
      </c>
      <c r="AP69" s="150">
        <v>0</v>
      </c>
      <c r="AQ69" s="119">
        <f t="shared" si="12"/>
        <v>0</v>
      </c>
      <c r="AR69" s="150">
        <f t="shared" si="9"/>
        <v>0</v>
      </c>
      <c r="AS69" s="165">
        <f t="shared" si="13"/>
        <v>0</v>
      </c>
      <c r="AT69" s="166"/>
      <c r="AU69" s="167">
        <f t="shared" si="14"/>
        <v>0</v>
      </c>
      <c r="AV69" s="124"/>
      <c r="AW69" s="124"/>
      <c r="AX69" s="124"/>
      <c r="AY69" s="124"/>
      <c r="AZ69" s="124"/>
      <c r="BA69" s="124"/>
      <c r="BB69" s="124"/>
      <c r="BC69" s="124"/>
      <c r="BD69" s="124"/>
      <c r="BE69" s="124"/>
      <c r="BF69" s="124"/>
      <c r="BG69" s="124"/>
    </row>
    <row r="70" spans="1:59" s="122" customFormat="1" ht="15" customHeight="1">
      <c r="A70" s="113">
        <v>11</v>
      </c>
      <c r="B70" s="182" t="s">
        <v>58</v>
      </c>
      <c r="C70" s="115"/>
      <c r="D70" s="116">
        <v>0.05</v>
      </c>
      <c r="E70" s="117">
        <f t="shared" si="42"/>
        <v>263525.85000000003</v>
      </c>
      <c r="F70" s="116"/>
      <c r="G70" s="117">
        <f t="shared" si="16"/>
        <v>0</v>
      </c>
      <c r="H70" s="116"/>
      <c r="I70" s="117"/>
      <c r="J70" s="116"/>
      <c r="K70" s="117">
        <f t="shared" si="26"/>
        <v>0</v>
      </c>
      <c r="L70" s="116"/>
      <c r="M70" s="117">
        <f t="shared" si="32"/>
        <v>0</v>
      </c>
      <c r="N70" s="116"/>
      <c r="O70" s="117">
        <f t="shared" si="19"/>
        <v>0</v>
      </c>
      <c r="P70" s="116"/>
      <c r="Q70" s="117">
        <f t="shared" si="20"/>
        <v>0</v>
      </c>
      <c r="R70" s="116"/>
      <c r="S70" s="117">
        <f t="shared" si="21"/>
        <v>0</v>
      </c>
      <c r="T70" s="116"/>
      <c r="U70" s="117">
        <f t="shared" si="27"/>
        <v>0</v>
      </c>
      <c r="V70" s="116"/>
      <c r="W70" s="117">
        <f t="shared" si="22"/>
        <v>0</v>
      </c>
      <c r="X70" s="116"/>
      <c r="Y70" s="117">
        <f t="shared" si="28"/>
        <v>0</v>
      </c>
      <c r="Z70" s="116">
        <v>1</v>
      </c>
      <c r="AA70" s="117">
        <f t="shared" si="23"/>
        <v>263525.85000000003</v>
      </c>
      <c r="AB70" s="116"/>
      <c r="AC70" s="117">
        <f t="shared" si="29"/>
        <v>0</v>
      </c>
      <c r="AD70" s="116"/>
      <c r="AE70" s="117">
        <f t="shared" si="24"/>
        <v>0</v>
      </c>
      <c r="AF70" s="116"/>
      <c r="AG70" s="118">
        <f t="shared" si="33"/>
        <v>0</v>
      </c>
      <c r="AH70" s="217"/>
      <c r="AI70" s="220"/>
      <c r="AJ70" s="220"/>
      <c r="AK70" s="150">
        <f t="shared" si="41"/>
        <v>0</v>
      </c>
      <c r="AL70" s="119">
        <f t="shared" si="41"/>
        <v>0</v>
      </c>
      <c r="AM70" s="120">
        <f t="shared" si="10"/>
        <v>0</v>
      </c>
      <c r="AN70" s="120">
        <v>0</v>
      </c>
      <c r="AO70" s="164">
        <f t="shared" si="11"/>
        <v>0</v>
      </c>
      <c r="AP70" s="150">
        <v>0</v>
      </c>
      <c r="AQ70" s="119">
        <f t="shared" si="12"/>
        <v>0</v>
      </c>
      <c r="AR70" s="150">
        <f t="shared" si="9"/>
        <v>0</v>
      </c>
      <c r="AS70" s="165">
        <f t="shared" si="13"/>
        <v>0</v>
      </c>
      <c r="AT70" s="181"/>
      <c r="AU70" s="167">
        <f t="shared" si="14"/>
        <v>0</v>
      </c>
      <c r="AV70" s="121"/>
      <c r="AW70" s="121"/>
      <c r="AX70" s="121"/>
      <c r="AY70" s="121"/>
      <c r="AZ70" s="121"/>
      <c r="BA70" s="121"/>
      <c r="BB70" s="121"/>
      <c r="BC70" s="121"/>
      <c r="BD70" s="121"/>
      <c r="BE70" s="121"/>
      <c r="BF70" s="121"/>
      <c r="BG70" s="121"/>
    </row>
    <row r="71" spans="1:59" s="122" customFormat="1" ht="15" customHeight="1">
      <c r="A71" s="113">
        <v>12</v>
      </c>
      <c r="B71" s="182" t="s">
        <v>77</v>
      </c>
      <c r="C71" s="115"/>
      <c r="D71" s="116">
        <v>0.05</v>
      </c>
      <c r="E71" s="117">
        <f t="shared" si="42"/>
        <v>263525.85000000003</v>
      </c>
      <c r="F71" s="116"/>
      <c r="G71" s="117">
        <f t="shared" si="16"/>
        <v>0</v>
      </c>
      <c r="H71" s="116"/>
      <c r="I71" s="117"/>
      <c r="J71" s="116"/>
      <c r="K71" s="117">
        <f t="shared" si="26"/>
        <v>0</v>
      </c>
      <c r="L71" s="116"/>
      <c r="M71" s="117">
        <f t="shared" si="32"/>
        <v>0</v>
      </c>
      <c r="N71" s="116"/>
      <c r="O71" s="117">
        <f t="shared" si="19"/>
        <v>0</v>
      </c>
      <c r="P71" s="116"/>
      <c r="Q71" s="117">
        <f t="shared" si="20"/>
        <v>0</v>
      </c>
      <c r="R71" s="116"/>
      <c r="S71" s="117">
        <f t="shared" si="21"/>
        <v>0</v>
      </c>
      <c r="T71" s="116"/>
      <c r="U71" s="117">
        <f t="shared" si="27"/>
        <v>0</v>
      </c>
      <c r="V71" s="116"/>
      <c r="W71" s="117">
        <f t="shared" si="22"/>
        <v>0</v>
      </c>
      <c r="X71" s="116"/>
      <c r="Y71" s="117">
        <f t="shared" si="28"/>
        <v>0</v>
      </c>
      <c r="Z71" s="116"/>
      <c r="AA71" s="117">
        <f t="shared" si="23"/>
        <v>0</v>
      </c>
      <c r="AB71" s="116"/>
      <c r="AC71" s="117">
        <f t="shared" si="29"/>
        <v>0</v>
      </c>
      <c r="AD71" s="116">
        <v>1</v>
      </c>
      <c r="AE71" s="117">
        <f t="shared" si="24"/>
        <v>263525.85000000003</v>
      </c>
      <c r="AF71" s="116"/>
      <c r="AG71" s="118">
        <f t="shared" si="33"/>
        <v>0</v>
      </c>
      <c r="AH71" s="218"/>
      <c r="AI71" s="221"/>
      <c r="AJ71" s="221"/>
      <c r="AK71" s="150">
        <f t="shared" si="41"/>
        <v>0</v>
      </c>
      <c r="AL71" s="119">
        <f t="shared" si="41"/>
        <v>0</v>
      </c>
      <c r="AM71" s="120">
        <f t="shared" si="10"/>
        <v>0</v>
      </c>
      <c r="AN71" s="120">
        <v>0</v>
      </c>
      <c r="AO71" s="164">
        <f t="shared" si="11"/>
        <v>0</v>
      </c>
      <c r="AP71" s="150">
        <v>0</v>
      </c>
      <c r="AQ71" s="119">
        <f t="shared" si="12"/>
        <v>0</v>
      </c>
      <c r="AR71" s="150">
        <f t="shared" si="9"/>
        <v>0</v>
      </c>
      <c r="AS71" s="165">
        <f t="shared" si="13"/>
        <v>0</v>
      </c>
      <c r="AT71" s="181"/>
      <c r="AU71" s="167">
        <f t="shared" si="14"/>
        <v>0</v>
      </c>
      <c r="AV71" s="121"/>
      <c r="AW71" s="121"/>
      <c r="AX71" s="121"/>
      <c r="AY71" s="121"/>
      <c r="AZ71" s="121"/>
      <c r="BA71" s="121"/>
      <c r="BB71" s="121"/>
      <c r="BC71" s="121"/>
      <c r="BD71" s="121"/>
      <c r="BE71" s="121"/>
      <c r="BF71" s="121"/>
      <c r="BG71" s="121"/>
    </row>
    <row r="72" spans="1:59" ht="15" customHeight="1">
      <c r="A72" s="74" t="s">
        <v>78</v>
      </c>
      <c r="B72" s="75" t="s">
        <v>79</v>
      </c>
      <c r="C72" s="76">
        <v>4791380</v>
      </c>
      <c r="D72" s="77"/>
      <c r="E72" s="78"/>
      <c r="F72" s="79"/>
      <c r="G72" s="80">
        <f t="shared" si="16"/>
        <v>0</v>
      </c>
      <c r="H72" s="79"/>
      <c r="I72" s="80"/>
      <c r="J72" s="80"/>
      <c r="K72" s="80">
        <f t="shared" si="26"/>
        <v>0</v>
      </c>
      <c r="L72" s="79"/>
      <c r="M72" s="80">
        <f t="shared" si="32"/>
        <v>0</v>
      </c>
      <c r="N72" s="80"/>
      <c r="O72" s="80">
        <f t="shared" si="19"/>
        <v>0</v>
      </c>
      <c r="P72" s="79"/>
      <c r="Q72" s="80">
        <f t="shared" si="20"/>
        <v>0</v>
      </c>
      <c r="R72" s="80"/>
      <c r="S72" s="80">
        <f t="shared" si="21"/>
        <v>0</v>
      </c>
      <c r="T72" s="79"/>
      <c r="U72" s="80">
        <f t="shared" si="27"/>
        <v>0</v>
      </c>
      <c r="V72" s="80"/>
      <c r="W72" s="80">
        <f t="shared" si="22"/>
        <v>0</v>
      </c>
      <c r="X72" s="79"/>
      <c r="Y72" s="80">
        <f t="shared" si="28"/>
        <v>0</v>
      </c>
      <c r="Z72" s="80"/>
      <c r="AA72" s="80">
        <f t="shared" si="23"/>
        <v>0</v>
      </c>
      <c r="AB72" s="79"/>
      <c r="AC72" s="80">
        <f t="shared" si="29"/>
        <v>0</v>
      </c>
      <c r="AD72" s="80"/>
      <c r="AE72" s="80">
        <f t="shared" si="24"/>
        <v>0</v>
      </c>
      <c r="AF72" s="79"/>
      <c r="AG72" s="81">
        <f t="shared" si="33"/>
        <v>0</v>
      </c>
      <c r="AH72" s="216">
        <f>SUM(E73:E82)</f>
        <v>4791380</v>
      </c>
      <c r="AI72" s="219">
        <f>SUM(AG73:AG82)+SUM(Q73:Q82)+SUM(G73:G82)+SUM(M73:M82)+SUM(U73:U82)+SUM(I73:I82)+SUM(Y73:Y82)+SUM(AC73:AC82)</f>
        <v>2635259</v>
      </c>
      <c r="AJ72" s="222">
        <f>AI72/AH72</f>
        <v>0.55000000000000004</v>
      </c>
      <c r="AK72" s="17">
        <f t="shared" ref="AK72:AL87" si="44">F72+H72+L72+P72+T72+X72+AB72+AF72</f>
        <v>0</v>
      </c>
      <c r="AL72" s="23">
        <f t="shared" si="44"/>
        <v>0</v>
      </c>
      <c r="AM72" s="4">
        <f t="shared" si="10"/>
        <v>0</v>
      </c>
      <c r="AN72" s="4">
        <v>0</v>
      </c>
      <c r="AO72" s="136">
        <f t="shared" si="11"/>
        <v>0</v>
      </c>
      <c r="AP72" s="17">
        <v>0</v>
      </c>
      <c r="AQ72" s="23">
        <f t="shared" si="12"/>
        <v>0</v>
      </c>
      <c r="AR72" s="17">
        <f t="shared" ref="AR72:AR135" si="45">AK72-AP72</f>
        <v>0</v>
      </c>
      <c r="AS72" s="141">
        <f t="shared" si="13"/>
        <v>0</v>
      </c>
      <c r="AT72" s="158"/>
      <c r="AU72" s="146">
        <f t="shared" si="14"/>
        <v>0</v>
      </c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</row>
    <row r="73" spans="1:59" s="122" customFormat="1" ht="15" customHeight="1">
      <c r="A73" s="113">
        <v>1</v>
      </c>
      <c r="B73" s="114" t="s">
        <v>34</v>
      </c>
      <c r="C73" s="115"/>
      <c r="D73" s="116">
        <v>0.02</v>
      </c>
      <c r="E73" s="117">
        <f t="shared" ref="E73:E82" si="46">+D73*$C$72</f>
        <v>95827.6</v>
      </c>
      <c r="F73" s="116">
        <v>1</v>
      </c>
      <c r="G73" s="117">
        <f t="shared" si="16"/>
        <v>95827.6</v>
      </c>
      <c r="H73" s="116"/>
      <c r="I73" s="117"/>
      <c r="J73" s="116"/>
      <c r="K73" s="117">
        <f t="shared" si="26"/>
        <v>0</v>
      </c>
      <c r="L73" s="116"/>
      <c r="M73" s="117">
        <f t="shared" si="32"/>
        <v>0</v>
      </c>
      <c r="N73" s="116"/>
      <c r="O73" s="117">
        <f t="shared" si="19"/>
        <v>0</v>
      </c>
      <c r="P73" s="116"/>
      <c r="Q73" s="117">
        <f t="shared" si="20"/>
        <v>0</v>
      </c>
      <c r="R73" s="116"/>
      <c r="S73" s="117">
        <f t="shared" si="21"/>
        <v>0</v>
      </c>
      <c r="T73" s="116"/>
      <c r="U73" s="117">
        <f t="shared" si="27"/>
        <v>0</v>
      </c>
      <c r="V73" s="116"/>
      <c r="W73" s="117">
        <f t="shared" si="22"/>
        <v>0</v>
      </c>
      <c r="X73" s="116"/>
      <c r="Y73" s="117">
        <f t="shared" si="28"/>
        <v>0</v>
      </c>
      <c r="Z73" s="116"/>
      <c r="AA73" s="117">
        <f t="shared" si="23"/>
        <v>0</v>
      </c>
      <c r="AB73" s="116"/>
      <c r="AC73" s="117">
        <f t="shared" si="29"/>
        <v>0</v>
      </c>
      <c r="AD73" s="116"/>
      <c r="AE73" s="117">
        <f t="shared" si="24"/>
        <v>0</v>
      </c>
      <c r="AF73" s="116"/>
      <c r="AG73" s="118">
        <f t="shared" si="33"/>
        <v>0</v>
      </c>
      <c r="AH73" s="217"/>
      <c r="AI73" s="220"/>
      <c r="AJ73" s="220"/>
      <c r="AK73" s="150">
        <f t="shared" si="44"/>
        <v>1</v>
      </c>
      <c r="AL73" s="119">
        <f t="shared" si="44"/>
        <v>95827.6</v>
      </c>
      <c r="AM73" s="120">
        <f t="shared" ref="AM73:AM136" si="47">F73+H73+L73+P73+T73+X73+AB73+AF73</f>
        <v>1</v>
      </c>
      <c r="AN73" s="120">
        <v>1</v>
      </c>
      <c r="AO73" s="164">
        <f t="shared" ref="AO73:AO136" si="48">AM73-AN73</f>
        <v>0</v>
      </c>
      <c r="AP73" s="150">
        <v>1</v>
      </c>
      <c r="AQ73" s="119">
        <f t="shared" ref="AQ73:AQ136" si="49">AP73*E73</f>
        <v>95827.6</v>
      </c>
      <c r="AR73" s="150">
        <f t="shared" si="45"/>
        <v>0</v>
      </c>
      <c r="AS73" s="165">
        <f t="shared" ref="AS73:AS136" si="50">AR73*E73</f>
        <v>0</v>
      </c>
      <c r="AT73" s="181"/>
      <c r="AU73" s="167">
        <f t="shared" ref="AU73:AU136" si="51">AT73*E73</f>
        <v>0</v>
      </c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</row>
    <row r="74" spans="1:59" s="122" customFormat="1" ht="15" customHeight="1">
      <c r="A74" s="113">
        <v>2</v>
      </c>
      <c r="B74" s="114" t="s">
        <v>47</v>
      </c>
      <c r="C74" s="115"/>
      <c r="D74" s="116">
        <v>0.08</v>
      </c>
      <c r="E74" s="117">
        <f t="shared" si="46"/>
        <v>383310.4</v>
      </c>
      <c r="F74" s="116"/>
      <c r="G74" s="117">
        <f t="shared" si="16"/>
        <v>0</v>
      </c>
      <c r="H74" s="116">
        <v>1</v>
      </c>
      <c r="I74" s="117">
        <f t="shared" ref="I74:I82" si="52">+H74*$E74</f>
        <v>383310.4</v>
      </c>
      <c r="J74" s="116"/>
      <c r="K74" s="117">
        <f t="shared" si="26"/>
        <v>0</v>
      </c>
      <c r="L74" s="116"/>
      <c r="M74" s="117">
        <f t="shared" si="32"/>
        <v>0</v>
      </c>
      <c r="N74" s="116"/>
      <c r="O74" s="117">
        <f t="shared" si="19"/>
        <v>0</v>
      </c>
      <c r="P74" s="116"/>
      <c r="Q74" s="117">
        <f t="shared" si="20"/>
        <v>0</v>
      </c>
      <c r="R74" s="116"/>
      <c r="S74" s="117">
        <f t="shared" si="21"/>
        <v>0</v>
      </c>
      <c r="T74" s="116"/>
      <c r="U74" s="117">
        <f t="shared" si="27"/>
        <v>0</v>
      </c>
      <c r="V74" s="116"/>
      <c r="W74" s="117">
        <f t="shared" si="22"/>
        <v>0</v>
      </c>
      <c r="X74" s="116"/>
      <c r="Y74" s="117">
        <f t="shared" si="28"/>
        <v>0</v>
      </c>
      <c r="Z74" s="116"/>
      <c r="AA74" s="117">
        <f t="shared" si="23"/>
        <v>0</v>
      </c>
      <c r="AB74" s="116"/>
      <c r="AC74" s="117">
        <f t="shared" si="29"/>
        <v>0</v>
      </c>
      <c r="AD74" s="116"/>
      <c r="AE74" s="117">
        <f t="shared" si="24"/>
        <v>0</v>
      </c>
      <c r="AF74" s="116"/>
      <c r="AG74" s="118">
        <f t="shared" si="33"/>
        <v>0</v>
      </c>
      <c r="AH74" s="217"/>
      <c r="AI74" s="220"/>
      <c r="AJ74" s="220"/>
      <c r="AK74" s="150">
        <f t="shared" si="44"/>
        <v>1</v>
      </c>
      <c r="AL74" s="119">
        <f t="shared" si="44"/>
        <v>383310.4</v>
      </c>
      <c r="AM74" s="120">
        <f t="shared" si="47"/>
        <v>1</v>
      </c>
      <c r="AN74" s="120">
        <v>1</v>
      </c>
      <c r="AO74" s="164">
        <f t="shared" si="48"/>
        <v>0</v>
      </c>
      <c r="AP74" s="150">
        <v>1</v>
      </c>
      <c r="AQ74" s="119">
        <f t="shared" si="49"/>
        <v>383310.4</v>
      </c>
      <c r="AR74" s="150">
        <f t="shared" si="45"/>
        <v>0</v>
      </c>
      <c r="AS74" s="165">
        <f t="shared" si="50"/>
        <v>0</v>
      </c>
      <c r="AT74" s="181"/>
      <c r="AU74" s="167">
        <f t="shared" si="51"/>
        <v>0</v>
      </c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</row>
    <row r="75" spans="1:59" s="122" customFormat="1" ht="15" customHeight="1">
      <c r="A75" s="113">
        <v>3</v>
      </c>
      <c r="B75" s="114" t="s">
        <v>48</v>
      </c>
      <c r="C75" s="115"/>
      <c r="D75" s="116">
        <v>0.15</v>
      </c>
      <c r="E75" s="117">
        <f t="shared" si="46"/>
        <v>718707</v>
      </c>
      <c r="F75" s="116"/>
      <c r="G75" s="117">
        <f t="shared" si="16"/>
        <v>0</v>
      </c>
      <c r="H75" s="116"/>
      <c r="I75" s="117">
        <f t="shared" si="52"/>
        <v>0</v>
      </c>
      <c r="J75" s="116">
        <v>1</v>
      </c>
      <c r="K75" s="117">
        <f t="shared" si="26"/>
        <v>718707</v>
      </c>
      <c r="L75" s="116">
        <v>1</v>
      </c>
      <c r="M75" s="117">
        <f t="shared" si="32"/>
        <v>718707</v>
      </c>
      <c r="N75" s="116"/>
      <c r="O75" s="117">
        <f t="shared" si="19"/>
        <v>0</v>
      </c>
      <c r="P75" s="116"/>
      <c r="Q75" s="117">
        <f t="shared" si="20"/>
        <v>0</v>
      </c>
      <c r="R75" s="116"/>
      <c r="S75" s="117">
        <f t="shared" si="21"/>
        <v>0</v>
      </c>
      <c r="T75" s="116"/>
      <c r="U75" s="117">
        <f t="shared" si="27"/>
        <v>0</v>
      </c>
      <c r="V75" s="116"/>
      <c r="W75" s="117">
        <f t="shared" si="22"/>
        <v>0</v>
      </c>
      <c r="X75" s="116"/>
      <c r="Y75" s="117">
        <f t="shared" si="28"/>
        <v>0</v>
      </c>
      <c r="Z75" s="116"/>
      <c r="AA75" s="117">
        <f t="shared" si="23"/>
        <v>0</v>
      </c>
      <c r="AB75" s="116"/>
      <c r="AC75" s="117">
        <f t="shared" si="29"/>
        <v>0</v>
      </c>
      <c r="AD75" s="116"/>
      <c r="AE75" s="117">
        <f t="shared" si="24"/>
        <v>0</v>
      </c>
      <c r="AF75" s="116"/>
      <c r="AG75" s="118">
        <f t="shared" si="33"/>
        <v>0</v>
      </c>
      <c r="AH75" s="217"/>
      <c r="AI75" s="220"/>
      <c r="AJ75" s="220"/>
      <c r="AK75" s="150">
        <f t="shared" si="44"/>
        <v>1</v>
      </c>
      <c r="AL75" s="119">
        <f t="shared" si="44"/>
        <v>718707</v>
      </c>
      <c r="AM75" s="120">
        <f t="shared" si="47"/>
        <v>1</v>
      </c>
      <c r="AN75" s="120">
        <v>1</v>
      </c>
      <c r="AO75" s="164">
        <f t="shared" si="48"/>
        <v>0</v>
      </c>
      <c r="AP75" s="150">
        <v>1</v>
      </c>
      <c r="AQ75" s="119">
        <f t="shared" si="49"/>
        <v>718707</v>
      </c>
      <c r="AR75" s="150">
        <f t="shared" si="45"/>
        <v>0</v>
      </c>
      <c r="AS75" s="165">
        <f t="shared" si="50"/>
        <v>0</v>
      </c>
      <c r="AT75" s="181"/>
      <c r="AU75" s="167">
        <f t="shared" si="51"/>
        <v>0</v>
      </c>
      <c r="AV75" s="121"/>
      <c r="AW75" s="121"/>
      <c r="AX75" s="121"/>
      <c r="AY75" s="121"/>
      <c r="AZ75" s="121"/>
      <c r="BA75" s="121"/>
      <c r="BB75" s="121"/>
      <c r="BC75" s="121"/>
      <c r="BD75" s="121"/>
      <c r="BE75" s="121"/>
      <c r="BF75" s="121"/>
      <c r="BG75" s="121"/>
    </row>
    <row r="76" spans="1:59" s="122" customFormat="1" ht="15" customHeight="1">
      <c r="A76" s="113">
        <v>4</v>
      </c>
      <c r="B76" s="114" t="s">
        <v>62</v>
      </c>
      <c r="C76" s="115"/>
      <c r="D76" s="116">
        <v>0.15</v>
      </c>
      <c r="E76" s="117">
        <f t="shared" si="46"/>
        <v>718707</v>
      </c>
      <c r="F76" s="116"/>
      <c r="G76" s="117">
        <f t="shared" si="16"/>
        <v>0</v>
      </c>
      <c r="H76" s="116"/>
      <c r="I76" s="117">
        <f t="shared" si="52"/>
        <v>0</v>
      </c>
      <c r="J76" s="116">
        <v>1</v>
      </c>
      <c r="K76" s="117">
        <f t="shared" si="26"/>
        <v>718707</v>
      </c>
      <c r="L76" s="116">
        <v>1</v>
      </c>
      <c r="M76" s="117">
        <f t="shared" si="32"/>
        <v>718707</v>
      </c>
      <c r="N76" s="116"/>
      <c r="O76" s="117">
        <f t="shared" si="19"/>
        <v>0</v>
      </c>
      <c r="P76" s="116"/>
      <c r="Q76" s="117">
        <f t="shared" si="20"/>
        <v>0</v>
      </c>
      <c r="R76" s="116"/>
      <c r="S76" s="117">
        <f t="shared" si="21"/>
        <v>0</v>
      </c>
      <c r="T76" s="116"/>
      <c r="U76" s="117">
        <f t="shared" si="27"/>
        <v>0</v>
      </c>
      <c r="V76" s="116"/>
      <c r="W76" s="117">
        <f t="shared" si="22"/>
        <v>0</v>
      </c>
      <c r="X76" s="116"/>
      <c r="Y76" s="117">
        <f t="shared" si="28"/>
        <v>0</v>
      </c>
      <c r="Z76" s="116"/>
      <c r="AA76" s="117">
        <f t="shared" si="23"/>
        <v>0</v>
      </c>
      <c r="AB76" s="116"/>
      <c r="AC76" s="117">
        <f t="shared" si="29"/>
        <v>0</v>
      </c>
      <c r="AD76" s="116"/>
      <c r="AE76" s="117">
        <f t="shared" si="24"/>
        <v>0</v>
      </c>
      <c r="AF76" s="116"/>
      <c r="AG76" s="118">
        <f t="shared" si="33"/>
        <v>0</v>
      </c>
      <c r="AH76" s="217"/>
      <c r="AI76" s="220"/>
      <c r="AJ76" s="220"/>
      <c r="AK76" s="150">
        <f t="shared" si="44"/>
        <v>1</v>
      </c>
      <c r="AL76" s="119">
        <f t="shared" si="44"/>
        <v>718707</v>
      </c>
      <c r="AM76" s="120">
        <f t="shared" si="47"/>
        <v>1</v>
      </c>
      <c r="AN76" s="120">
        <v>1</v>
      </c>
      <c r="AO76" s="164">
        <f t="shared" si="48"/>
        <v>0</v>
      </c>
      <c r="AP76" s="150">
        <v>1</v>
      </c>
      <c r="AQ76" s="119">
        <f t="shared" si="49"/>
        <v>718707</v>
      </c>
      <c r="AR76" s="150">
        <f t="shared" si="45"/>
        <v>0</v>
      </c>
      <c r="AS76" s="165">
        <f t="shared" si="50"/>
        <v>0</v>
      </c>
      <c r="AT76" s="181"/>
      <c r="AU76" s="167">
        <f t="shared" si="51"/>
        <v>0</v>
      </c>
      <c r="AV76" s="121"/>
      <c r="AW76" s="121"/>
      <c r="AX76" s="121"/>
      <c r="AY76" s="121"/>
      <c r="AZ76" s="121"/>
      <c r="BA76" s="121"/>
      <c r="BB76" s="121"/>
      <c r="BC76" s="121"/>
      <c r="BD76" s="121"/>
      <c r="BE76" s="121"/>
      <c r="BF76" s="121"/>
      <c r="BG76" s="121"/>
    </row>
    <row r="77" spans="1:59" s="122" customFormat="1" ht="15" customHeight="1">
      <c r="A77" s="113">
        <v>5</v>
      </c>
      <c r="B77" s="114" t="s">
        <v>54</v>
      </c>
      <c r="C77" s="115"/>
      <c r="D77" s="116">
        <v>0.15</v>
      </c>
      <c r="E77" s="117">
        <f t="shared" si="46"/>
        <v>718707</v>
      </c>
      <c r="F77" s="116"/>
      <c r="G77" s="117">
        <f t="shared" si="16"/>
        <v>0</v>
      </c>
      <c r="H77" s="116"/>
      <c r="I77" s="117">
        <f t="shared" si="52"/>
        <v>0</v>
      </c>
      <c r="J77" s="116"/>
      <c r="K77" s="117">
        <f t="shared" si="26"/>
        <v>0</v>
      </c>
      <c r="L77" s="116"/>
      <c r="M77" s="117">
        <f t="shared" si="32"/>
        <v>0</v>
      </c>
      <c r="N77" s="116"/>
      <c r="O77" s="117">
        <f t="shared" si="19"/>
        <v>0</v>
      </c>
      <c r="P77" s="116"/>
      <c r="Q77" s="117">
        <f t="shared" si="20"/>
        <v>0</v>
      </c>
      <c r="R77" s="116">
        <v>1</v>
      </c>
      <c r="S77" s="117">
        <f t="shared" si="21"/>
        <v>718707</v>
      </c>
      <c r="T77" s="116">
        <v>1</v>
      </c>
      <c r="U77" s="117">
        <f t="shared" si="27"/>
        <v>718707</v>
      </c>
      <c r="V77" s="116"/>
      <c r="W77" s="117">
        <f t="shared" si="22"/>
        <v>0</v>
      </c>
      <c r="X77" s="116"/>
      <c r="Y77" s="117">
        <f t="shared" si="28"/>
        <v>0</v>
      </c>
      <c r="Z77" s="116"/>
      <c r="AA77" s="117">
        <f t="shared" si="23"/>
        <v>0</v>
      </c>
      <c r="AB77" s="116"/>
      <c r="AC77" s="117">
        <f t="shared" si="29"/>
        <v>0</v>
      </c>
      <c r="AD77" s="116"/>
      <c r="AE77" s="117">
        <f t="shared" si="24"/>
        <v>0</v>
      </c>
      <c r="AF77" s="116"/>
      <c r="AG77" s="118">
        <f t="shared" si="33"/>
        <v>0</v>
      </c>
      <c r="AH77" s="217"/>
      <c r="AI77" s="220"/>
      <c r="AJ77" s="220"/>
      <c r="AK77" s="150">
        <f t="shared" si="44"/>
        <v>1</v>
      </c>
      <c r="AL77" s="119">
        <f t="shared" si="44"/>
        <v>718707</v>
      </c>
      <c r="AM77" s="120">
        <f t="shared" si="47"/>
        <v>1</v>
      </c>
      <c r="AN77" s="120">
        <v>1</v>
      </c>
      <c r="AO77" s="164">
        <f t="shared" si="48"/>
        <v>0</v>
      </c>
      <c r="AP77" s="150">
        <v>1</v>
      </c>
      <c r="AQ77" s="119">
        <f t="shared" si="49"/>
        <v>718707</v>
      </c>
      <c r="AR77" s="150">
        <f t="shared" si="45"/>
        <v>0</v>
      </c>
      <c r="AS77" s="165">
        <f t="shared" si="50"/>
        <v>0</v>
      </c>
      <c r="AT77" s="181"/>
      <c r="AU77" s="167">
        <f t="shared" si="51"/>
        <v>0</v>
      </c>
      <c r="AV77" s="121"/>
      <c r="AW77" s="121"/>
      <c r="AX77" s="121"/>
      <c r="AY77" s="121"/>
      <c r="AZ77" s="121"/>
      <c r="BA77" s="121"/>
      <c r="BB77" s="121"/>
      <c r="BC77" s="121"/>
      <c r="BD77" s="121"/>
      <c r="BE77" s="121"/>
      <c r="BF77" s="121"/>
      <c r="BG77" s="121"/>
    </row>
    <row r="78" spans="1:59" s="122" customFormat="1" ht="15" customHeight="1">
      <c r="A78" s="113">
        <v>6</v>
      </c>
      <c r="B78" s="114" t="s">
        <v>64</v>
      </c>
      <c r="C78" s="115"/>
      <c r="D78" s="116">
        <v>0.2</v>
      </c>
      <c r="E78" s="117">
        <f t="shared" si="46"/>
        <v>958276</v>
      </c>
      <c r="F78" s="116"/>
      <c r="G78" s="117">
        <f t="shared" si="16"/>
        <v>0</v>
      </c>
      <c r="H78" s="116"/>
      <c r="I78" s="117">
        <f t="shared" si="52"/>
        <v>0</v>
      </c>
      <c r="J78" s="116"/>
      <c r="K78" s="117">
        <f t="shared" si="26"/>
        <v>0</v>
      </c>
      <c r="L78" s="116"/>
      <c r="M78" s="117">
        <f t="shared" si="32"/>
        <v>0</v>
      </c>
      <c r="N78" s="116"/>
      <c r="O78" s="117">
        <f t="shared" si="19"/>
        <v>0</v>
      </c>
      <c r="P78" s="116"/>
      <c r="Q78" s="117">
        <f t="shared" si="20"/>
        <v>0</v>
      </c>
      <c r="R78" s="116">
        <v>1</v>
      </c>
      <c r="S78" s="117">
        <f t="shared" si="21"/>
        <v>958276</v>
      </c>
      <c r="T78" s="116"/>
      <c r="U78" s="117">
        <f t="shared" si="27"/>
        <v>0</v>
      </c>
      <c r="V78" s="116"/>
      <c r="W78" s="117">
        <f t="shared" si="22"/>
        <v>0</v>
      </c>
      <c r="X78" s="116"/>
      <c r="Y78" s="117">
        <f t="shared" si="28"/>
        <v>0</v>
      </c>
      <c r="Z78" s="116"/>
      <c r="AA78" s="117">
        <f t="shared" si="23"/>
        <v>0</v>
      </c>
      <c r="AB78" s="116"/>
      <c r="AC78" s="117">
        <f t="shared" si="29"/>
        <v>0</v>
      </c>
      <c r="AD78" s="116"/>
      <c r="AE78" s="117">
        <f t="shared" si="24"/>
        <v>0</v>
      </c>
      <c r="AF78" s="116"/>
      <c r="AG78" s="118">
        <f t="shared" si="33"/>
        <v>0</v>
      </c>
      <c r="AH78" s="217"/>
      <c r="AI78" s="220"/>
      <c r="AJ78" s="220"/>
      <c r="AK78" s="150">
        <f t="shared" si="44"/>
        <v>0</v>
      </c>
      <c r="AL78" s="119">
        <f t="shared" si="44"/>
        <v>0</v>
      </c>
      <c r="AM78" s="120">
        <f t="shared" si="47"/>
        <v>0</v>
      </c>
      <c r="AN78" s="120">
        <v>0</v>
      </c>
      <c r="AO78" s="164">
        <f t="shared" si="48"/>
        <v>0</v>
      </c>
      <c r="AP78" s="150">
        <v>0</v>
      </c>
      <c r="AQ78" s="119">
        <f t="shared" si="49"/>
        <v>0</v>
      </c>
      <c r="AR78" s="150">
        <f t="shared" si="45"/>
        <v>0</v>
      </c>
      <c r="AS78" s="165">
        <f t="shared" si="50"/>
        <v>0</v>
      </c>
      <c r="AT78" s="181">
        <f>100%-AK78</f>
        <v>1</v>
      </c>
      <c r="AU78" s="167">
        <f t="shared" si="51"/>
        <v>958276</v>
      </c>
      <c r="AV78" s="121"/>
      <c r="AW78" s="121"/>
      <c r="AX78" s="121"/>
      <c r="AY78" s="121"/>
      <c r="AZ78" s="121"/>
      <c r="BA78" s="121"/>
      <c r="BB78" s="121"/>
      <c r="BC78" s="121"/>
      <c r="BD78" s="121"/>
      <c r="BE78" s="121"/>
      <c r="BF78" s="121"/>
      <c r="BG78" s="121"/>
    </row>
    <row r="79" spans="1:59" s="122" customFormat="1" ht="14.25" customHeight="1">
      <c r="A79" s="113">
        <v>7</v>
      </c>
      <c r="B79" s="114" t="s">
        <v>80</v>
      </c>
      <c r="C79" s="115"/>
      <c r="D79" s="116">
        <v>0.1</v>
      </c>
      <c r="E79" s="117">
        <f t="shared" si="46"/>
        <v>479138</v>
      </c>
      <c r="F79" s="116"/>
      <c r="G79" s="117">
        <f t="shared" si="16"/>
        <v>0</v>
      </c>
      <c r="H79" s="116"/>
      <c r="I79" s="117">
        <f t="shared" si="52"/>
        <v>0</v>
      </c>
      <c r="J79" s="116"/>
      <c r="K79" s="117">
        <f t="shared" si="26"/>
        <v>0</v>
      </c>
      <c r="L79" s="116"/>
      <c r="M79" s="117">
        <f t="shared" si="32"/>
        <v>0</v>
      </c>
      <c r="N79" s="116"/>
      <c r="O79" s="117">
        <f t="shared" si="19"/>
        <v>0</v>
      </c>
      <c r="P79" s="116"/>
      <c r="Q79" s="117">
        <f t="shared" si="20"/>
        <v>0</v>
      </c>
      <c r="R79" s="116"/>
      <c r="S79" s="117">
        <f t="shared" si="21"/>
        <v>0</v>
      </c>
      <c r="T79" s="116"/>
      <c r="U79" s="117">
        <f t="shared" si="27"/>
        <v>0</v>
      </c>
      <c r="V79" s="116">
        <v>1</v>
      </c>
      <c r="W79" s="117">
        <f t="shared" si="22"/>
        <v>479138</v>
      </c>
      <c r="X79" s="116"/>
      <c r="Y79" s="117">
        <f t="shared" si="28"/>
        <v>0</v>
      </c>
      <c r="Z79" s="116"/>
      <c r="AA79" s="117">
        <f t="shared" si="23"/>
        <v>0</v>
      </c>
      <c r="AB79" s="116"/>
      <c r="AC79" s="117">
        <f t="shared" si="29"/>
        <v>0</v>
      </c>
      <c r="AD79" s="116"/>
      <c r="AE79" s="117">
        <f t="shared" si="24"/>
        <v>0</v>
      </c>
      <c r="AF79" s="116"/>
      <c r="AG79" s="118">
        <f t="shared" si="33"/>
        <v>0</v>
      </c>
      <c r="AH79" s="217"/>
      <c r="AI79" s="220"/>
      <c r="AJ79" s="220"/>
      <c r="AK79" s="150">
        <f t="shared" si="44"/>
        <v>0</v>
      </c>
      <c r="AL79" s="119">
        <f t="shared" si="44"/>
        <v>0</v>
      </c>
      <c r="AM79" s="120">
        <f t="shared" si="47"/>
        <v>0</v>
      </c>
      <c r="AN79" s="120">
        <v>0</v>
      </c>
      <c r="AO79" s="164">
        <f t="shared" si="48"/>
        <v>0</v>
      </c>
      <c r="AP79" s="150">
        <v>0</v>
      </c>
      <c r="AQ79" s="119">
        <f t="shared" si="49"/>
        <v>0</v>
      </c>
      <c r="AR79" s="150">
        <f t="shared" si="45"/>
        <v>0</v>
      </c>
      <c r="AS79" s="165">
        <f t="shared" si="50"/>
        <v>0</v>
      </c>
      <c r="AT79" s="181"/>
      <c r="AU79" s="167">
        <f t="shared" si="51"/>
        <v>0</v>
      </c>
      <c r="AV79" s="121"/>
      <c r="AW79" s="121"/>
      <c r="AX79" s="121"/>
      <c r="AY79" s="121"/>
      <c r="AZ79" s="121"/>
      <c r="BA79" s="121"/>
      <c r="BB79" s="121"/>
      <c r="BC79" s="121"/>
      <c r="BD79" s="121"/>
      <c r="BE79" s="121"/>
      <c r="BF79" s="121"/>
      <c r="BG79" s="121"/>
    </row>
    <row r="80" spans="1:59" s="122" customFormat="1" ht="15" customHeight="1">
      <c r="A80" s="113">
        <v>8</v>
      </c>
      <c r="B80" s="114" t="s">
        <v>65</v>
      </c>
      <c r="C80" s="115"/>
      <c r="D80" s="116">
        <v>0.05</v>
      </c>
      <c r="E80" s="117">
        <f t="shared" si="46"/>
        <v>239569</v>
      </c>
      <c r="F80" s="116"/>
      <c r="G80" s="117">
        <f t="shared" si="16"/>
        <v>0</v>
      </c>
      <c r="H80" s="116"/>
      <c r="I80" s="117">
        <f t="shared" si="52"/>
        <v>0</v>
      </c>
      <c r="J80" s="116"/>
      <c r="K80" s="117">
        <f t="shared" si="26"/>
        <v>0</v>
      </c>
      <c r="L80" s="116"/>
      <c r="M80" s="117">
        <f t="shared" si="32"/>
        <v>0</v>
      </c>
      <c r="N80" s="116"/>
      <c r="O80" s="117">
        <f t="shared" si="19"/>
        <v>0</v>
      </c>
      <c r="P80" s="116"/>
      <c r="Q80" s="117">
        <f t="shared" si="20"/>
        <v>0</v>
      </c>
      <c r="R80" s="116"/>
      <c r="S80" s="117">
        <f t="shared" si="21"/>
        <v>0</v>
      </c>
      <c r="T80" s="116"/>
      <c r="U80" s="117">
        <f t="shared" si="27"/>
        <v>0</v>
      </c>
      <c r="V80" s="116"/>
      <c r="W80" s="117">
        <f t="shared" si="22"/>
        <v>0</v>
      </c>
      <c r="X80" s="116"/>
      <c r="Y80" s="117">
        <f t="shared" si="28"/>
        <v>0</v>
      </c>
      <c r="Z80" s="116">
        <v>1</v>
      </c>
      <c r="AA80" s="117">
        <f t="shared" si="23"/>
        <v>239569</v>
      </c>
      <c r="AB80" s="116"/>
      <c r="AC80" s="117">
        <f t="shared" si="29"/>
        <v>0</v>
      </c>
      <c r="AD80" s="116"/>
      <c r="AE80" s="117">
        <f t="shared" si="24"/>
        <v>0</v>
      </c>
      <c r="AF80" s="116"/>
      <c r="AG80" s="118">
        <f t="shared" si="33"/>
        <v>0</v>
      </c>
      <c r="AH80" s="217"/>
      <c r="AI80" s="220"/>
      <c r="AJ80" s="220"/>
      <c r="AK80" s="150">
        <f t="shared" si="44"/>
        <v>0</v>
      </c>
      <c r="AL80" s="119">
        <f t="shared" si="44"/>
        <v>0</v>
      </c>
      <c r="AM80" s="120">
        <f t="shared" si="47"/>
        <v>0</v>
      </c>
      <c r="AN80" s="120">
        <v>0</v>
      </c>
      <c r="AO80" s="164">
        <f t="shared" si="48"/>
        <v>0</v>
      </c>
      <c r="AP80" s="150">
        <v>0</v>
      </c>
      <c r="AQ80" s="119">
        <f t="shared" si="49"/>
        <v>0</v>
      </c>
      <c r="AR80" s="150">
        <f t="shared" si="45"/>
        <v>0</v>
      </c>
      <c r="AS80" s="165">
        <f t="shared" si="50"/>
        <v>0</v>
      </c>
      <c r="AT80" s="181"/>
      <c r="AU80" s="167">
        <f t="shared" si="51"/>
        <v>0</v>
      </c>
      <c r="AV80" s="121"/>
      <c r="AW80" s="121"/>
      <c r="AX80" s="121"/>
      <c r="AY80" s="121"/>
      <c r="AZ80" s="121"/>
      <c r="BA80" s="121"/>
      <c r="BB80" s="121"/>
      <c r="BC80" s="121"/>
      <c r="BD80" s="121"/>
      <c r="BE80" s="121"/>
      <c r="BF80" s="121"/>
      <c r="BG80" s="121"/>
    </row>
    <row r="81" spans="1:59" s="122" customFormat="1" ht="15" customHeight="1">
      <c r="A81" s="113">
        <v>9</v>
      </c>
      <c r="B81" s="114" t="s">
        <v>58</v>
      </c>
      <c r="C81" s="115"/>
      <c r="D81" s="116">
        <v>0.05</v>
      </c>
      <c r="E81" s="117">
        <f t="shared" si="46"/>
        <v>239569</v>
      </c>
      <c r="F81" s="116"/>
      <c r="G81" s="117">
        <f t="shared" si="16"/>
        <v>0</v>
      </c>
      <c r="H81" s="116"/>
      <c r="I81" s="117">
        <f t="shared" si="52"/>
        <v>0</v>
      </c>
      <c r="J81" s="116"/>
      <c r="K81" s="117">
        <f t="shared" si="26"/>
        <v>0</v>
      </c>
      <c r="L81" s="116"/>
      <c r="M81" s="117">
        <f t="shared" si="32"/>
        <v>0</v>
      </c>
      <c r="N81" s="116"/>
      <c r="O81" s="117">
        <f t="shared" si="19"/>
        <v>0</v>
      </c>
      <c r="P81" s="116"/>
      <c r="Q81" s="117">
        <f t="shared" si="20"/>
        <v>0</v>
      </c>
      <c r="R81" s="116"/>
      <c r="S81" s="117">
        <f t="shared" si="21"/>
        <v>0</v>
      </c>
      <c r="T81" s="116"/>
      <c r="U81" s="117">
        <f t="shared" si="27"/>
        <v>0</v>
      </c>
      <c r="V81" s="116"/>
      <c r="W81" s="117">
        <f t="shared" si="22"/>
        <v>0</v>
      </c>
      <c r="X81" s="116"/>
      <c r="Y81" s="117">
        <f t="shared" si="28"/>
        <v>0</v>
      </c>
      <c r="Z81" s="116">
        <v>1</v>
      </c>
      <c r="AA81" s="117">
        <f t="shared" si="23"/>
        <v>239569</v>
      </c>
      <c r="AB81" s="116"/>
      <c r="AC81" s="117">
        <f t="shared" si="29"/>
        <v>0</v>
      </c>
      <c r="AD81" s="116"/>
      <c r="AE81" s="117">
        <f t="shared" si="24"/>
        <v>0</v>
      </c>
      <c r="AF81" s="116"/>
      <c r="AG81" s="118">
        <f t="shared" si="33"/>
        <v>0</v>
      </c>
      <c r="AH81" s="217"/>
      <c r="AI81" s="220"/>
      <c r="AJ81" s="220"/>
      <c r="AK81" s="150">
        <f t="shared" si="44"/>
        <v>0</v>
      </c>
      <c r="AL81" s="119">
        <f t="shared" si="44"/>
        <v>0</v>
      </c>
      <c r="AM81" s="120">
        <f t="shared" si="47"/>
        <v>0</v>
      </c>
      <c r="AN81" s="120">
        <v>0</v>
      </c>
      <c r="AO81" s="164">
        <f t="shared" si="48"/>
        <v>0</v>
      </c>
      <c r="AP81" s="150">
        <v>0</v>
      </c>
      <c r="AQ81" s="119">
        <f t="shared" si="49"/>
        <v>0</v>
      </c>
      <c r="AR81" s="150">
        <f t="shared" si="45"/>
        <v>0</v>
      </c>
      <c r="AS81" s="165">
        <f t="shared" si="50"/>
        <v>0</v>
      </c>
      <c r="AT81" s="181"/>
      <c r="AU81" s="167">
        <f t="shared" si="51"/>
        <v>0</v>
      </c>
      <c r="AV81" s="121"/>
      <c r="AW81" s="121"/>
      <c r="AX81" s="121"/>
      <c r="AY81" s="121"/>
      <c r="AZ81" s="121"/>
      <c r="BA81" s="121"/>
      <c r="BB81" s="121"/>
      <c r="BC81" s="121"/>
      <c r="BD81" s="121"/>
      <c r="BE81" s="121"/>
      <c r="BF81" s="121"/>
      <c r="BG81" s="121"/>
    </row>
    <row r="82" spans="1:59" s="122" customFormat="1" ht="15" customHeight="1">
      <c r="A82" s="113">
        <v>10</v>
      </c>
      <c r="B82" s="114" t="s">
        <v>81</v>
      </c>
      <c r="C82" s="115"/>
      <c r="D82" s="116">
        <v>0.05</v>
      </c>
      <c r="E82" s="117">
        <f t="shared" si="46"/>
        <v>239569</v>
      </c>
      <c r="F82" s="116"/>
      <c r="G82" s="117">
        <f t="shared" si="16"/>
        <v>0</v>
      </c>
      <c r="H82" s="116"/>
      <c r="I82" s="117">
        <f t="shared" si="52"/>
        <v>0</v>
      </c>
      <c r="J82" s="116"/>
      <c r="K82" s="117">
        <f t="shared" si="26"/>
        <v>0</v>
      </c>
      <c r="L82" s="116"/>
      <c r="M82" s="117">
        <f t="shared" si="32"/>
        <v>0</v>
      </c>
      <c r="N82" s="116"/>
      <c r="O82" s="117">
        <f t="shared" si="19"/>
        <v>0</v>
      </c>
      <c r="P82" s="116"/>
      <c r="Q82" s="117">
        <f t="shared" si="20"/>
        <v>0</v>
      </c>
      <c r="R82" s="116"/>
      <c r="S82" s="117">
        <f t="shared" si="21"/>
        <v>0</v>
      </c>
      <c r="T82" s="116"/>
      <c r="U82" s="117">
        <f t="shared" si="27"/>
        <v>0</v>
      </c>
      <c r="V82" s="116"/>
      <c r="W82" s="117">
        <f t="shared" si="22"/>
        <v>0</v>
      </c>
      <c r="X82" s="116"/>
      <c r="Y82" s="117">
        <f t="shared" si="28"/>
        <v>0</v>
      </c>
      <c r="Z82" s="116"/>
      <c r="AA82" s="117">
        <f t="shared" si="23"/>
        <v>0</v>
      </c>
      <c r="AB82" s="116"/>
      <c r="AC82" s="117">
        <f t="shared" si="29"/>
        <v>0</v>
      </c>
      <c r="AD82" s="116">
        <v>1</v>
      </c>
      <c r="AE82" s="117">
        <f t="shared" si="24"/>
        <v>239569</v>
      </c>
      <c r="AF82" s="116"/>
      <c r="AG82" s="118">
        <f t="shared" si="33"/>
        <v>0</v>
      </c>
      <c r="AH82" s="218"/>
      <c r="AI82" s="221"/>
      <c r="AJ82" s="221"/>
      <c r="AK82" s="150">
        <f t="shared" si="44"/>
        <v>0</v>
      </c>
      <c r="AL82" s="119">
        <f t="shared" si="44"/>
        <v>0</v>
      </c>
      <c r="AM82" s="120">
        <f t="shared" si="47"/>
        <v>0</v>
      </c>
      <c r="AN82" s="120">
        <v>0</v>
      </c>
      <c r="AO82" s="164">
        <f t="shared" si="48"/>
        <v>0</v>
      </c>
      <c r="AP82" s="150">
        <v>0</v>
      </c>
      <c r="AQ82" s="119">
        <f t="shared" si="49"/>
        <v>0</v>
      </c>
      <c r="AR82" s="150">
        <f t="shared" si="45"/>
        <v>0</v>
      </c>
      <c r="AS82" s="165">
        <f t="shared" si="50"/>
        <v>0</v>
      </c>
      <c r="AT82" s="181"/>
      <c r="AU82" s="167">
        <f t="shared" si="51"/>
        <v>0</v>
      </c>
      <c r="AV82" s="121"/>
      <c r="AW82" s="121"/>
      <c r="AX82" s="121"/>
      <c r="AY82" s="121"/>
      <c r="AZ82" s="121"/>
      <c r="BA82" s="121"/>
      <c r="BB82" s="121"/>
      <c r="BC82" s="121"/>
      <c r="BD82" s="121"/>
      <c r="BE82" s="121"/>
      <c r="BF82" s="121"/>
      <c r="BG82" s="121"/>
    </row>
    <row r="83" spans="1:59" ht="15" customHeight="1">
      <c r="A83" s="74" t="s">
        <v>82</v>
      </c>
      <c r="B83" s="75" t="s">
        <v>83</v>
      </c>
      <c r="C83" s="76">
        <f>3353966/2</f>
        <v>1676983</v>
      </c>
      <c r="D83" s="77"/>
      <c r="E83" s="78"/>
      <c r="F83" s="79"/>
      <c r="G83" s="80">
        <f t="shared" si="16"/>
        <v>0</v>
      </c>
      <c r="H83" s="79"/>
      <c r="I83" s="80"/>
      <c r="J83" s="80"/>
      <c r="K83" s="80">
        <f t="shared" si="26"/>
        <v>0</v>
      </c>
      <c r="L83" s="79"/>
      <c r="M83" s="80">
        <f t="shared" si="32"/>
        <v>0</v>
      </c>
      <c r="N83" s="80"/>
      <c r="O83" s="80">
        <f t="shared" si="19"/>
        <v>0</v>
      </c>
      <c r="P83" s="79"/>
      <c r="Q83" s="80">
        <f t="shared" si="20"/>
        <v>0</v>
      </c>
      <c r="R83" s="80"/>
      <c r="S83" s="80">
        <f t="shared" si="21"/>
        <v>0</v>
      </c>
      <c r="T83" s="79"/>
      <c r="U83" s="80">
        <f t="shared" si="27"/>
        <v>0</v>
      </c>
      <c r="V83" s="80"/>
      <c r="W83" s="80">
        <f t="shared" si="22"/>
        <v>0</v>
      </c>
      <c r="X83" s="79"/>
      <c r="Y83" s="80">
        <f t="shared" si="28"/>
        <v>0</v>
      </c>
      <c r="Z83" s="80"/>
      <c r="AA83" s="80">
        <f t="shared" si="23"/>
        <v>0</v>
      </c>
      <c r="AB83" s="79"/>
      <c r="AC83" s="80">
        <f t="shared" si="29"/>
        <v>0</v>
      </c>
      <c r="AD83" s="80"/>
      <c r="AE83" s="80">
        <f t="shared" si="24"/>
        <v>0</v>
      </c>
      <c r="AF83" s="79"/>
      <c r="AG83" s="81">
        <f t="shared" si="33"/>
        <v>0</v>
      </c>
      <c r="AH83" s="216">
        <f>SUM(E84:E95)</f>
        <v>1676982.9999999995</v>
      </c>
      <c r="AI83" s="219">
        <f>SUM(Y84:Y95)+SUM(AC84:AC95)+SUM(M84:M95)+SUM(G84:G95)+SUM(I84:I95)+SUM(Q84:Q95)+SUM(U84:U95)+SUM(AG84:AG95)</f>
        <v>1299661.825</v>
      </c>
      <c r="AJ83" s="222">
        <f>AI83/AH83</f>
        <v>0.77500000000000013</v>
      </c>
      <c r="AK83" s="17">
        <f t="shared" si="44"/>
        <v>0</v>
      </c>
      <c r="AL83" s="23">
        <f t="shared" si="44"/>
        <v>0</v>
      </c>
      <c r="AM83" s="4">
        <f t="shared" si="47"/>
        <v>0</v>
      </c>
      <c r="AN83" s="4">
        <v>0</v>
      </c>
      <c r="AO83" s="136">
        <f t="shared" si="48"/>
        <v>0</v>
      </c>
      <c r="AP83" s="17">
        <v>0</v>
      </c>
      <c r="AQ83" s="23">
        <f t="shared" si="49"/>
        <v>0</v>
      </c>
      <c r="AR83" s="17">
        <f t="shared" si="45"/>
        <v>0</v>
      </c>
      <c r="AS83" s="141">
        <f t="shared" si="50"/>
        <v>0</v>
      </c>
      <c r="AT83" s="158"/>
      <c r="AU83" s="146">
        <f t="shared" si="51"/>
        <v>0</v>
      </c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</row>
    <row r="84" spans="1:59" s="122" customFormat="1" ht="15" customHeight="1">
      <c r="A84" s="113">
        <v>1</v>
      </c>
      <c r="B84" s="114" t="s">
        <v>34</v>
      </c>
      <c r="C84" s="115"/>
      <c r="D84" s="116">
        <v>0.02</v>
      </c>
      <c r="E84" s="117">
        <f t="shared" ref="E84:E95" si="53">+D84*$C$83</f>
        <v>33539.660000000003</v>
      </c>
      <c r="F84" s="116">
        <v>1</v>
      </c>
      <c r="G84" s="117">
        <f t="shared" si="16"/>
        <v>33539.660000000003</v>
      </c>
      <c r="H84" s="116"/>
      <c r="I84" s="117"/>
      <c r="J84" s="116"/>
      <c r="K84" s="117">
        <f t="shared" si="26"/>
        <v>0</v>
      </c>
      <c r="L84" s="116"/>
      <c r="M84" s="117">
        <f t="shared" si="32"/>
        <v>0</v>
      </c>
      <c r="N84" s="116"/>
      <c r="O84" s="117">
        <f t="shared" si="19"/>
        <v>0</v>
      </c>
      <c r="P84" s="116"/>
      <c r="Q84" s="117">
        <f t="shared" si="20"/>
        <v>0</v>
      </c>
      <c r="R84" s="116"/>
      <c r="S84" s="117">
        <f t="shared" si="21"/>
        <v>0</v>
      </c>
      <c r="T84" s="116"/>
      <c r="U84" s="117">
        <f t="shared" si="27"/>
        <v>0</v>
      </c>
      <c r="V84" s="116"/>
      <c r="W84" s="117">
        <f t="shared" si="22"/>
        <v>0</v>
      </c>
      <c r="X84" s="116"/>
      <c r="Y84" s="117">
        <f t="shared" si="28"/>
        <v>0</v>
      </c>
      <c r="Z84" s="116"/>
      <c r="AA84" s="117">
        <f t="shared" si="23"/>
        <v>0</v>
      </c>
      <c r="AB84" s="116"/>
      <c r="AC84" s="117">
        <f t="shared" si="29"/>
        <v>0</v>
      </c>
      <c r="AD84" s="116"/>
      <c r="AE84" s="117">
        <f t="shared" si="24"/>
        <v>0</v>
      </c>
      <c r="AF84" s="116"/>
      <c r="AG84" s="118">
        <f t="shared" si="33"/>
        <v>0</v>
      </c>
      <c r="AH84" s="217"/>
      <c r="AI84" s="220"/>
      <c r="AJ84" s="220"/>
      <c r="AK84" s="150">
        <f t="shared" si="44"/>
        <v>1</v>
      </c>
      <c r="AL84" s="119">
        <f t="shared" si="44"/>
        <v>33539.660000000003</v>
      </c>
      <c r="AM84" s="120">
        <f t="shared" si="47"/>
        <v>1</v>
      </c>
      <c r="AN84" s="120">
        <v>1</v>
      </c>
      <c r="AO84" s="164">
        <f t="shared" si="48"/>
        <v>0</v>
      </c>
      <c r="AP84" s="150">
        <v>1</v>
      </c>
      <c r="AQ84" s="119">
        <f t="shared" si="49"/>
        <v>33539.660000000003</v>
      </c>
      <c r="AR84" s="150">
        <f t="shared" si="45"/>
        <v>0</v>
      </c>
      <c r="AS84" s="165">
        <f t="shared" si="50"/>
        <v>0</v>
      </c>
      <c r="AT84" s="181"/>
      <c r="AU84" s="167">
        <f t="shared" si="51"/>
        <v>0</v>
      </c>
      <c r="AV84" s="121"/>
      <c r="AW84" s="121"/>
      <c r="AX84" s="121"/>
      <c r="AY84" s="121"/>
      <c r="AZ84" s="121"/>
      <c r="BA84" s="121"/>
      <c r="BB84" s="121"/>
      <c r="BC84" s="121"/>
      <c r="BD84" s="121"/>
      <c r="BE84" s="121"/>
      <c r="BF84" s="121"/>
      <c r="BG84" s="121"/>
    </row>
    <row r="85" spans="1:59" s="122" customFormat="1" ht="15" customHeight="1">
      <c r="A85" s="113">
        <v>2</v>
      </c>
      <c r="B85" s="114" t="s">
        <v>47</v>
      </c>
      <c r="C85" s="115"/>
      <c r="D85" s="116">
        <v>0.08</v>
      </c>
      <c r="E85" s="117">
        <f t="shared" si="53"/>
        <v>134158.64000000001</v>
      </c>
      <c r="F85" s="116">
        <v>1</v>
      </c>
      <c r="G85" s="117">
        <f t="shared" si="16"/>
        <v>134158.64000000001</v>
      </c>
      <c r="H85" s="116"/>
      <c r="I85" s="117"/>
      <c r="J85" s="116"/>
      <c r="K85" s="117">
        <f t="shared" si="26"/>
        <v>0</v>
      </c>
      <c r="L85" s="116"/>
      <c r="M85" s="117">
        <f t="shared" si="32"/>
        <v>0</v>
      </c>
      <c r="N85" s="116"/>
      <c r="O85" s="117">
        <f t="shared" si="19"/>
        <v>0</v>
      </c>
      <c r="P85" s="116"/>
      <c r="Q85" s="117">
        <f t="shared" si="20"/>
        <v>0</v>
      </c>
      <c r="R85" s="116"/>
      <c r="S85" s="117">
        <f t="shared" si="21"/>
        <v>0</v>
      </c>
      <c r="T85" s="116"/>
      <c r="U85" s="117">
        <f t="shared" si="27"/>
        <v>0</v>
      </c>
      <c r="V85" s="116"/>
      <c r="W85" s="117">
        <f t="shared" si="22"/>
        <v>0</v>
      </c>
      <c r="X85" s="116"/>
      <c r="Y85" s="117">
        <f t="shared" si="28"/>
        <v>0</v>
      </c>
      <c r="Z85" s="116"/>
      <c r="AA85" s="117">
        <f t="shared" si="23"/>
        <v>0</v>
      </c>
      <c r="AB85" s="116"/>
      <c r="AC85" s="117">
        <f t="shared" si="29"/>
        <v>0</v>
      </c>
      <c r="AD85" s="116"/>
      <c r="AE85" s="117">
        <f t="shared" si="24"/>
        <v>0</v>
      </c>
      <c r="AF85" s="116"/>
      <c r="AG85" s="118">
        <f t="shared" si="33"/>
        <v>0</v>
      </c>
      <c r="AH85" s="217"/>
      <c r="AI85" s="220"/>
      <c r="AJ85" s="220"/>
      <c r="AK85" s="150">
        <f t="shared" si="44"/>
        <v>1</v>
      </c>
      <c r="AL85" s="119">
        <f t="shared" si="44"/>
        <v>134158.64000000001</v>
      </c>
      <c r="AM85" s="120">
        <f t="shared" si="47"/>
        <v>1</v>
      </c>
      <c r="AN85" s="120">
        <v>1</v>
      </c>
      <c r="AO85" s="164">
        <f t="shared" si="48"/>
        <v>0</v>
      </c>
      <c r="AP85" s="150">
        <v>1</v>
      </c>
      <c r="AQ85" s="119">
        <f t="shared" si="49"/>
        <v>134158.64000000001</v>
      </c>
      <c r="AR85" s="150">
        <f t="shared" si="45"/>
        <v>0</v>
      </c>
      <c r="AS85" s="165">
        <f t="shared" si="50"/>
        <v>0</v>
      </c>
      <c r="AT85" s="181"/>
      <c r="AU85" s="167">
        <f t="shared" si="51"/>
        <v>0</v>
      </c>
      <c r="AV85" s="121"/>
      <c r="AW85" s="121"/>
      <c r="AX85" s="121"/>
      <c r="AY85" s="121"/>
      <c r="AZ85" s="121"/>
      <c r="BA85" s="121"/>
      <c r="BB85" s="121"/>
      <c r="BC85" s="121"/>
      <c r="BD85" s="121"/>
      <c r="BE85" s="121"/>
      <c r="BF85" s="121"/>
      <c r="BG85" s="121"/>
    </row>
    <row r="86" spans="1:59" s="122" customFormat="1" ht="15" customHeight="1">
      <c r="A86" s="113">
        <v>3</v>
      </c>
      <c r="B86" s="114" t="s">
        <v>48</v>
      </c>
      <c r="C86" s="115"/>
      <c r="D86" s="116">
        <v>0.1</v>
      </c>
      <c r="E86" s="117">
        <f t="shared" si="53"/>
        <v>167698.30000000002</v>
      </c>
      <c r="F86" s="116"/>
      <c r="G86" s="117">
        <f t="shared" si="16"/>
        <v>0</v>
      </c>
      <c r="H86" s="116">
        <v>1</v>
      </c>
      <c r="I86" s="117">
        <f t="shared" ref="I86:I95" si="54">+H86*$E86</f>
        <v>167698.30000000002</v>
      </c>
      <c r="J86" s="116"/>
      <c r="K86" s="117">
        <f t="shared" si="26"/>
        <v>0</v>
      </c>
      <c r="L86" s="116"/>
      <c r="M86" s="117">
        <f t="shared" si="32"/>
        <v>0</v>
      </c>
      <c r="N86" s="116"/>
      <c r="O86" s="117">
        <f t="shared" si="19"/>
        <v>0</v>
      </c>
      <c r="P86" s="116"/>
      <c r="Q86" s="117">
        <f t="shared" si="20"/>
        <v>0</v>
      </c>
      <c r="R86" s="116"/>
      <c r="S86" s="117">
        <f t="shared" si="21"/>
        <v>0</v>
      </c>
      <c r="T86" s="116"/>
      <c r="U86" s="117">
        <f t="shared" si="27"/>
        <v>0</v>
      </c>
      <c r="V86" s="116"/>
      <c r="W86" s="117">
        <f t="shared" si="22"/>
        <v>0</v>
      </c>
      <c r="X86" s="116"/>
      <c r="Y86" s="117">
        <f t="shared" si="28"/>
        <v>0</v>
      </c>
      <c r="Z86" s="116"/>
      <c r="AA86" s="117">
        <f t="shared" si="23"/>
        <v>0</v>
      </c>
      <c r="AB86" s="116"/>
      <c r="AC86" s="117">
        <f t="shared" si="29"/>
        <v>0</v>
      </c>
      <c r="AD86" s="116"/>
      <c r="AE86" s="117">
        <f t="shared" si="24"/>
        <v>0</v>
      </c>
      <c r="AF86" s="116"/>
      <c r="AG86" s="118">
        <f t="shared" si="33"/>
        <v>0</v>
      </c>
      <c r="AH86" s="217"/>
      <c r="AI86" s="220"/>
      <c r="AJ86" s="220"/>
      <c r="AK86" s="150">
        <f t="shared" si="44"/>
        <v>1</v>
      </c>
      <c r="AL86" s="119">
        <f t="shared" si="44"/>
        <v>167698.30000000002</v>
      </c>
      <c r="AM86" s="120">
        <f t="shared" si="47"/>
        <v>1</v>
      </c>
      <c r="AN86" s="120">
        <v>1</v>
      </c>
      <c r="AO86" s="164">
        <f t="shared" si="48"/>
        <v>0</v>
      </c>
      <c r="AP86" s="150">
        <v>1</v>
      </c>
      <c r="AQ86" s="119">
        <f t="shared" si="49"/>
        <v>167698.30000000002</v>
      </c>
      <c r="AR86" s="150">
        <f t="shared" si="45"/>
        <v>0</v>
      </c>
      <c r="AS86" s="165">
        <f t="shared" si="50"/>
        <v>0</v>
      </c>
      <c r="AT86" s="181"/>
      <c r="AU86" s="167">
        <f t="shared" si="51"/>
        <v>0</v>
      </c>
      <c r="AV86" s="121"/>
      <c r="AW86" s="121"/>
      <c r="AX86" s="121"/>
      <c r="AY86" s="121"/>
      <c r="AZ86" s="121"/>
      <c r="BA86" s="121"/>
      <c r="BB86" s="121"/>
      <c r="BC86" s="121"/>
      <c r="BD86" s="121"/>
      <c r="BE86" s="121"/>
      <c r="BF86" s="121"/>
      <c r="BG86" s="121"/>
    </row>
    <row r="87" spans="1:59" s="122" customFormat="1" ht="15" customHeight="1">
      <c r="A87" s="113">
        <v>4</v>
      </c>
      <c r="B87" s="114" t="s">
        <v>62</v>
      </c>
      <c r="C87" s="115"/>
      <c r="D87" s="116">
        <v>0.1</v>
      </c>
      <c r="E87" s="117">
        <f t="shared" si="53"/>
        <v>167698.30000000002</v>
      </c>
      <c r="F87" s="116"/>
      <c r="G87" s="117">
        <f t="shared" si="16"/>
        <v>0</v>
      </c>
      <c r="H87" s="116">
        <v>1</v>
      </c>
      <c r="I87" s="117">
        <f t="shared" si="54"/>
        <v>167698.30000000002</v>
      </c>
      <c r="J87" s="116"/>
      <c r="K87" s="117">
        <f t="shared" si="26"/>
        <v>0</v>
      </c>
      <c r="L87" s="116"/>
      <c r="M87" s="117">
        <f t="shared" si="32"/>
        <v>0</v>
      </c>
      <c r="N87" s="116"/>
      <c r="O87" s="117">
        <f t="shared" si="19"/>
        <v>0</v>
      </c>
      <c r="P87" s="116"/>
      <c r="Q87" s="117">
        <f t="shared" si="20"/>
        <v>0</v>
      </c>
      <c r="R87" s="116"/>
      <c r="S87" s="117">
        <f t="shared" si="21"/>
        <v>0</v>
      </c>
      <c r="T87" s="116"/>
      <c r="U87" s="117">
        <f t="shared" si="27"/>
        <v>0</v>
      </c>
      <c r="V87" s="116"/>
      <c r="W87" s="117">
        <f t="shared" si="22"/>
        <v>0</v>
      </c>
      <c r="X87" s="116"/>
      <c r="Y87" s="117">
        <f t="shared" si="28"/>
        <v>0</v>
      </c>
      <c r="Z87" s="116"/>
      <c r="AA87" s="117">
        <f t="shared" si="23"/>
        <v>0</v>
      </c>
      <c r="AB87" s="116"/>
      <c r="AC87" s="117">
        <f t="shared" si="29"/>
        <v>0</v>
      </c>
      <c r="AD87" s="116"/>
      <c r="AE87" s="117">
        <f t="shared" si="24"/>
        <v>0</v>
      </c>
      <c r="AF87" s="116"/>
      <c r="AG87" s="118">
        <f t="shared" si="33"/>
        <v>0</v>
      </c>
      <c r="AH87" s="217"/>
      <c r="AI87" s="220"/>
      <c r="AJ87" s="220"/>
      <c r="AK87" s="150">
        <f t="shared" si="44"/>
        <v>1</v>
      </c>
      <c r="AL87" s="119">
        <f t="shared" si="44"/>
        <v>167698.30000000002</v>
      </c>
      <c r="AM87" s="120">
        <f t="shared" si="47"/>
        <v>1</v>
      </c>
      <c r="AN87" s="120">
        <v>1</v>
      </c>
      <c r="AO87" s="164">
        <f t="shared" si="48"/>
        <v>0</v>
      </c>
      <c r="AP87" s="150">
        <v>1</v>
      </c>
      <c r="AQ87" s="119">
        <f t="shared" si="49"/>
        <v>167698.30000000002</v>
      </c>
      <c r="AR87" s="150">
        <f t="shared" si="45"/>
        <v>0</v>
      </c>
      <c r="AS87" s="165">
        <f t="shared" si="50"/>
        <v>0</v>
      </c>
      <c r="AT87" s="181"/>
      <c r="AU87" s="167">
        <f t="shared" si="51"/>
        <v>0</v>
      </c>
      <c r="AV87" s="121"/>
      <c r="AW87" s="121"/>
      <c r="AX87" s="121"/>
      <c r="AY87" s="121"/>
      <c r="AZ87" s="121"/>
      <c r="BA87" s="121"/>
      <c r="BB87" s="121"/>
      <c r="BC87" s="121"/>
      <c r="BD87" s="121"/>
      <c r="BE87" s="121"/>
      <c r="BF87" s="121"/>
      <c r="BG87" s="121"/>
    </row>
    <row r="88" spans="1:59" s="122" customFormat="1" ht="15" customHeight="1">
      <c r="A88" s="113">
        <v>5</v>
      </c>
      <c r="B88" s="114" t="s">
        <v>84</v>
      </c>
      <c r="C88" s="115"/>
      <c r="D88" s="116">
        <v>0.15</v>
      </c>
      <c r="E88" s="117">
        <f t="shared" si="53"/>
        <v>251547.44999999998</v>
      </c>
      <c r="F88" s="116"/>
      <c r="G88" s="117">
        <f t="shared" si="16"/>
        <v>0</v>
      </c>
      <c r="H88" s="116"/>
      <c r="I88" s="117">
        <f t="shared" si="54"/>
        <v>0</v>
      </c>
      <c r="J88" s="116">
        <v>1</v>
      </c>
      <c r="K88" s="117">
        <f t="shared" si="26"/>
        <v>251547.44999999998</v>
      </c>
      <c r="L88" s="116">
        <v>1</v>
      </c>
      <c r="M88" s="117">
        <f t="shared" si="32"/>
        <v>251547.44999999998</v>
      </c>
      <c r="N88" s="116"/>
      <c r="O88" s="117">
        <f t="shared" si="19"/>
        <v>0</v>
      </c>
      <c r="P88" s="116"/>
      <c r="Q88" s="117">
        <f t="shared" si="20"/>
        <v>0</v>
      </c>
      <c r="R88" s="116"/>
      <c r="S88" s="117">
        <f t="shared" si="21"/>
        <v>0</v>
      </c>
      <c r="T88" s="116"/>
      <c r="U88" s="117">
        <f t="shared" si="27"/>
        <v>0</v>
      </c>
      <c r="V88" s="116"/>
      <c r="W88" s="117">
        <f t="shared" si="22"/>
        <v>0</v>
      </c>
      <c r="X88" s="116"/>
      <c r="Y88" s="117">
        <f t="shared" si="28"/>
        <v>0</v>
      </c>
      <c r="Z88" s="116"/>
      <c r="AA88" s="117">
        <f t="shared" si="23"/>
        <v>0</v>
      </c>
      <c r="AB88" s="116"/>
      <c r="AC88" s="117">
        <f t="shared" si="29"/>
        <v>0</v>
      </c>
      <c r="AD88" s="116"/>
      <c r="AE88" s="117">
        <f t="shared" si="24"/>
        <v>0</v>
      </c>
      <c r="AF88" s="116"/>
      <c r="AG88" s="118">
        <f t="shared" si="33"/>
        <v>0</v>
      </c>
      <c r="AH88" s="217"/>
      <c r="AI88" s="220"/>
      <c r="AJ88" s="220"/>
      <c r="AK88" s="150">
        <f t="shared" ref="AK88:AL103" si="55">F88+H88+L88+P88+T88+X88+AB88+AF88</f>
        <v>1</v>
      </c>
      <c r="AL88" s="119">
        <f t="shared" si="55"/>
        <v>251547.44999999998</v>
      </c>
      <c r="AM88" s="120">
        <f t="shared" si="47"/>
        <v>1</v>
      </c>
      <c r="AN88" s="120">
        <v>1</v>
      </c>
      <c r="AO88" s="164">
        <f t="shared" si="48"/>
        <v>0</v>
      </c>
      <c r="AP88" s="150">
        <v>1</v>
      </c>
      <c r="AQ88" s="119">
        <f t="shared" si="49"/>
        <v>251547.44999999998</v>
      </c>
      <c r="AR88" s="150">
        <f t="shared" si="45"/>
        <v>0</v>
      </c>
      <c r="AS88" s="165">
        <f t="shared" si="50"/>
        <v>0</v>
      </c>
      <c r="AT88" s="181"/>
      <c r="AU88" s="167">
        <f t="shared" si="51"/>
        <v>0</v>
      </c>
      <c r="AV88" s="121"/>
      <c r="AW88" s="121"/>
      <c r="AX88" s="121"/>
      <c r="AY88" s="121"/>
      <c r="AZ88" s="121"/>
      <c r="BA88" s="121"/>
      <c r="BB88" s="121"/>
      <c r="BC88" s="121"/>
      <c r="BD88" s="121"/>
      <c r="BE88" s="121"/>
      <c r="BF88" s="121"/>
      <c r="BG88" s="121"/>
    </row>
    <row r="89" spans="1:59" s="122" customFormat="1" ht="15" customHeight="1">
      <c r="A89" s="113">
        <v>6</v>
      </c>
      <c r="B89" s="114" t="s">
        <v>85</v>
      </c>
      <c r="C89" s="115"/>
      <c r="D89" s="116">
        <v>0.1</v>
      </c>
      <c r="E89" s="117">
        <f t="shared" si="53"/>
        <v>167698.30000000002</v>
      </c>
      <c r="F89" s="116"/>
      <c r="G89" s="117">
        <f t="shared" si="16"/>
        <v>0</v>
      </c>
      <c r="H89" s="116"/>
      <c r="I89" s="117">
        <f t="shared" si="54"/>
        <v>0</v>
      </c>
      <c r="J89" s="116"/>
      <c r="K89" s="117">
        <f t="shared" si="26"/>
        <v>0</v>
      </c>
      <c r="L89" s="116"/>
      <c r="M89" s="117">
        <f t="shared" si="32"/>
        <v>0</v>
      </c>
      <c r="N89" s="116">
        <v>1</v>
      </c>
      <c r="O89" s="117">
        <f t="shared" si="19"/>
        <v>167698.30000000002</v>
      </c>
      <c r="P89" s="116">
        <v>1</v>
      </c>
      <c r="Q89" s="117">
        <f t="shared" si="20"/>
        <v>167698.30000000002</v>
      </c>
      <c r="R89" s="116"/>
      <c r="S89" s="117">
        <f t="shared" si="21"/>
        <v>0</v>
      </c>
      <c r="T89" s="116"/>
      <c r="U89" s="117">
        <f t="shared" si="27"/>
        <v>0</v>
      </c>
      <c r="V89" s="116"/>
      <c r="W89" s="117">
        <f t="shared" si="22"/>
        <v>0</v>
      </c>
      <c r="X89" s="116"/>
      <c r="Y89" s="117">
        <f t="shared" si="28"/>
        <v>0</v>
      </c>
      <c r="Z89" s="116"/>
      <c r="AA89" s="117">
        <f t="shared" si="23"/>
        <v>0</v>
      </c>
      <c r="AB89" s="116"/>
      <c r="AC89" s="117">
        <f t="shared" si="29"/>
        <v>0</v>
      </c>
      <c r="AD89" s="116"/>
      <c r="AE89" s="117">
        <f t="shared" si="24"/>
        <v>0</v>
      </c>
      <c r="AF89" s="116"/>
      <c r="AG89" s="118">
        <f t="shared" si="33"/>
        <v>0</v>
      </c>
      <c r="AH89" s="217"/>
      <c r="AI89" s="220"/>
      <c r="AJ89" s="220"/>
      <c r="AK89" s="150">
        <f t="shared" si="55"/>
        <v>1</v>
      </c>
      <c r="AL89" s="119">
        <f t="shared" si="55"/>
        <v>167698.30000000002</v>
      </c>
      <c r="AM89" s="120">
        <f t="shared" si="47"/>
        <v>1</v>
      </c>
      <c r="AN89" s="120">
        <v>1</v>
      </c>
      <c r="AO89" s="164">
        <f t="shared" si="48"/>
        <v>0</v>
      </c>
      <c r="AP89" s="150">
        <v>1</v>
      </c>
      <c r="AQ89" s="119">
        <f t="shared" si="49"/>
        <v>167698.30000000002</v>
      </c>
      <c r="AR89" s="150">
        <f t="shared" si="45"/>
        <v>0</v>
      </c>
      <c r="AS89" s="165">
        <f t="shared" si="50"/>
        <v>0</v>
      </c>
      <c r="AT89" s="181"/>
      <c r="AU89" s="167">
        <f t="shared" si="51"/>
        <v>0</v>
      </c>
      <c r="AV89" s="121"/>
      <c r="AW89" s="121"/>
      <c r="AX89" s="121"/>
      <c r="AY89" s="121"/>
      <c r="AZ89" s="121"/>
      <c r="BA89" s="121"/>
      <c r="BB89" s="121"/>
      <c r="BC89" s="121"/>
      <c r="BD89" s="121"/>
      <c r="BE89" s="121"/>
      <c r="BF89" s="121"/>
      <c r="BG89" s="121"/>
    </row>
    <row r="90" spans="1:59" s="122" customFormat="1" ht="14.25" customHeight="1">
      <c r="A90" s="113">
        <v>7</v>
      </c>
      <c r="B90" s="114" t="s">
        <v>86</v>
      </c>
      <c r="C90" s="115"/>
      <c r="D90" s="116">
        <v>0.2</v>
      </c>
      <c r="E90" s="117">
        <f t="shared" si="53"/>
        <v>335396.60000000003</v>
      </c>
      <c r="F90" s="116"/>
      <c r="G90" s="117">
        <f t="shared" si="16"/>
        <v>0</v>
      </c>
      <c r="H90" s="116"/>
      <c r="I90" s="117">
        <f t="shared" si="54"/>
        <v>0</v>
      </c>
      <c r="J90" s="116"/>
      <c r="K90" s="117">
        <f t="shared" si="26"/>
        <v>0</v>
      </c>
      <c r="L90" s="116"/>
      <c r="M90" s="117">
        <f t="shared" si="32"/>
        <v>0</v>
      </c>
      <c r="N90" s="116">
        <v>1</v>
      </c>
      <c r="O90" s="117">
        <f t="shared" si="19"/>
        <v>335396.60000000003</v>
      </c>
      <c r="P90" s="116">
        <v>1</v>
      </c>
      <c r="Q90" s="117">
        <f t="shared" si="20"/>
        <v>335396.60000000003</v>
      </c>
      <c r="R90" s="116"/>
      <c r="S90" s="117">
        <f t="shared" si="21"/>
        <v>0</v>
      </c>
      <c r="T90" s="116"/>
      <c r="U90" s="117">
        <f t="shared" si="27"/>
        <v>0</v>
      </c>
      <c r="V90" s="116"/>
      <c r="W90" s="117">
        <f t="shared" si="22"/>
        <v>0</v>
      </c>
      <c r="X90" s="116"/>
      <c r="Y90" s="117">
        <f t="shared" si="28"/>
        <v>0</v>
      </c>
      <c r="Z90" s="116"/>
      <c r="AA90" s="117">
        <f t="shared" si="23"/>
        <v>0</v>
      </c>
      <c r="AB90" s="116"/>
      <c r="AC90" s="117">
        <f t="shared" si="29"/>
        <v>0</v>
      </c>
      <c r="AD90" s="116"/>
      <c r="AE90" s="117">
        <f t="shared" si="24"/>
        <v>0</v>
      </c>
      <c r="AF90" s="116"/>
      <c r="AG90" s="118">
        <f t="shared" si="33"/>
        <v>0</v>
      </c>
      <c r="AH90" s="217"/>
      <c r="AI90" s="220"/>
      <c r="AJ90" s="220"/>
      <c r="AK90" s="150">
        <f t="shared" si="55"/>
        <v>1</v>
      </c>
      <c r="AL90" s="119">
        <f t="shared" si="55"/>
        <v>335396.60000000003</v>
      </c>
      <c r="AM90" s="120">
        <f t="shared" si="47"/>
        <v>1</v>
      </c>
      <c r="AN90" s="120">
        <v>1</v>
      </c>
      <c r="AO90" s="164">
        <f t="shared" si="48"/>
        <v>0</v>
      </c>
      <c r="AP90" s="150">
        <v>1</v>
      </c>
      <c r="AQ90" s="119">
        <f t="shared" si="49"/>
        <v>335396.60000000003</v>
      </c>
      <c r="AR90" s="150">
        <f t="shared" si="45"/>
        <v>0</v>
      </c>
      <c r="AS90" s="165">
        <f t="shared" si="50"/>
        <v>0</v>
      </c>
      <c r="AT90" s="181"/>
      <c r="AU90" s="167">
        <f t="shared" si="51"/>
        <v>0</v>
      </c>
      <c r="AV90" s="121"/>
      <c r="AW90" s="121"/>
      <c r="AX90" s="121"/>
      <c r="AY90" s="121"/>
      <c r="AZ90" s="121"/>
      <c r="BA90" s="121"/>
      <c r="BB90" s="121"/>
      <c r="BC90" s="121"/>
      <c r="BD90" s="121"/>
      <c r="BE90" s="121"/>
      <c r="BF90" s="121"/>
      <c r="BG90" s="121"/>
    </row>
    <row r="91" spans="1:59" s="122" customFormat="1" ht="15" customHeight="1">
      <c r="A91" s="113">
        <v>8</v>
      </c>
      <c r="B91" s="114" t="s">
        <v>65</v>
      </c>
      <c r="C91" s="115"/>
      <c r="D91" s="116">
        <v>0.05</v>
      </c>
      <c r="E91" s="117">
        <f t="shared" si="53"/>
        <v>83849.150000000009</v>
      </c>
      <c r="F91" s="116"/>
      <c r="G91" s="117">
        <f t="shared" si="16"/>
        <v>0</v>
      </c>
      <c r="H91" s="116"/>
      <c r="I91" s="117">
        <f t="shared" si="54"/>
        <v>0</v>
      </c>
      <c r="J91" s="116"/>
      <c r="K91" s="117">
        <f t="shared" si="26"/>
        <v>0</v>
      </c>
      <c r="L91" s="116"/>
      <c r="M91" s="117">
        <f t="shared" si="32"/>
        <v>0</v>
      </c>
      <c r="N91" s="116"/>
      <c r="O91" s="117">
        <f t="shared" si="19"/>
        <v>0</v>
      </c>
      <c r="P91" s="116"/>
      <c r="Q91" s="117">
        <f t="shared" si="20"/>
        <v>0</v>
      </c>
      <c r="R91" s="116">
        <v>1</v>
      </c>
      <c r="S91" s="117">
        <f t="shared" si="21"/>
        <v>83849.150000000009</v>
      </c>
      <c r="T91" s="116">
        <v>0.5</v>
      </c>
      <c r="U91" s="117">
        <f t="shared" si="27"/>
        <v>41924.575000000004</v>
      </c>
      <c r="V91" s="116"/>
      <c r="W91" s="117">
        <f t="shared" si="22"/>
        <v>0</v>
      </c>
      <c r="X91" s="116"/>
      <c r="Y91" s="117">
        <f t="shared" si="28"/>
        <v>0</v>
      </c>
      <c r="Z91" s="116"/>
      <c r="AA91" s="117">
        <f t="shared" si="23"/>
        <v>0</v>
      </c>
      <c r="AB91" s="116"/>
      <c r="AC91" s="117">
        <f t="shared" si="29"/>
        <v>0</v>
      </c>
      <c r="AD91" s="116"/>
      <c r="AE91" s="117">
        <f t="shared" si="24"/>
        <v>0</v>
      </c>
      <c r="AF91" s="116"/>
      <c r="AG91" s="118">
        <f t="shared" si="33"/>
        <v>0</v>
      </c>
      <c r="AH91" s="217"/>
      <c r="AI91" s="220"/>
      <c r="AJ91" s="220"/>
      <c r="AK91" s="150">
        <f t="shared" si="55"/>
        <v>0.5</v>
      </c>
      <c r="AL91" s="119">
        <f t="shared" si="55"/>
        <v>41924.575000000004</v>
      </c>
      <c r="AM91" s="120">
        <f t="shared" si="47"/>
        <v>0.5</v>
      </c>
      <c r="AN91" s="120">
        <v>0.5</v>
      </c>
      <c r="AO91" s="164">
        <f t="shared" si="48"/>
        <v>0</v>
      </c>
      <c r="AP91" s="150">
        <v>0.5</v>
      </c>
      <c r="AQ91" s="119">
        <f t="shared" si="49"/>
        <v>41924.575000000004</v>
      </c>
      <c r="AR91" s="150">
        <f t="shared" si="45"/>
        <v>0</v>
      </c>
      <c r="AS91" s="165">
        <f t="shared" si="50"/>
        <v>0</v>
      </c>
      <c r="AT91" s="181">
        <f>100%-AK91</f>
        <v>0.5</v>
      </c>
      <c r="AU91" s="167">
        <f t="shared" si="51"/>
        <v>41924.575000000004</v>
      </c>
      <c r="AV91" s="121"/>
      <c r="AW91" s="121"/>
      <c r="AX91" s="121"/>
      <c r="AY91" s="121"/>
      <c r="AZ91" s="121"/>
      <c r="BA91" s="121"/>
      <c r="BB91" s="121"/>
      <c r="BC91" s="121"/>
      <c r="BD91" s="121"/>
      <c r="BE91" s="121"/>
      <c r="BF91" s="121"/>
      <c r="BG91" s="121"/>
    </row>
    <row r="92" spans="1:59" s="122" customFormat="1" ht="15" customHeight="1">
      <c r="A92" s="113">
        <v>9</v>
      </c>
      <c r="B92" s="114" t="s">
        <v>87</v>
      </c>
      <c r="C92" s="115"/>
      <c r="D92" s="116">
        <v>0.05</v>
      </c>
      <c r="E92" s="117">
        <f t="shared" si="53"/>
        <v>83849.150000000009</v>
      </c>
      <c r="F92" s="116"/>
      <c r="G92" s="117">
        <f t="shared" si="16"/>
        <v>0</v>
      </c>
      <c r="H92" s="116"/>
      <c r="I92" s="117">
        <f t="shared" si="54"/>
        <v>0</v>
      </c>
      <c r="J92" s="116"/>
      <c r="K92" s="117">
        <f t="shared" si="26"/>
        <v>0</v>
      </c>
      <c r="L92" s="116"/>
      <c r="M92" s="117">
        <f t="shared" si="32"/>
        <v>0</v>
      </c>
      <c r="N92" s="116"/>
      <c r="O92" s="117">
        <f t="shared" si="19"/>
        <v>0</v>
      </c>
      <c r="P92" s="116"/>
      <c r="Q92" s="117">
        <f t="shared" si="20"/>
        <v>0</v>
      </c>
      <c r="R92" s="116"/>
      <c r="S92" s="117">
        <f t="shared" si="21"/>
        <v>0</v>
      </c>
      <c r="T92" s="116"/>
      <c r="U92" s="117">
        <f t="shared" si="27"/>
        <v>0</v>
      </c>
      <c r="V92" s="116"/>
      <c r="W92" s="117">
        <f t="shared" si="22"/>
        <v>0</v>
      </c>
      <c r="X92" s="116"/>
      <c r="Y92" s="117">
        <f t="shared" si="28"/>
        <v>0</v>
      </c>
      <c r="Z92" s="116">
        <v>1</v>
      </c>
      <c r="AA92" s="117">
        <f t="shared" si="23"/>
        <v>83849.150000000009</v>
      </c>
      <c r="AB92" s="116"/>
      <c r="AC92" s="117">
        <f t="shared" si="29"/>
        <v>0</v>
      </c>
      <c r="AD92" s="116"/>
      <c r="AE92" s="117">
        <f t="shared" si="24"/>
        <v>0</v>
      </c>
      <c r="AF92" s="116"/>
      <c r="AG92" s="118">
        <f t="shared" si="33"/>
        <v>0</v>
      </c>
      <c r="AH92" s="217"/>
      <c r="AI92" s="220"/>
      <c r="AJ92" s="220"/>
      <c r="AK92" s="150">
        <f t="shared" si="55"/>
        <v>0</v>
      </c>
      <c r="AL92" s="119">
        <f t="shared" si="55"/>
        <v>0</v>
      </c>
      <c r="AM92" s="120">
        <f t="shared" si="47"/>
        <v>0</v>
      </c>
      <c r="AN92" s="120">
        <v>0</v>
      </c>
      <c r="AO92" s="164">
        <f t="shared" si="48"/>
        <v>0</v>
      </c>
      <c r="AP92" s="150">
        <v>0</v>
      </c>
      <c r="AQ92" s="119">
        <f t="shared" si="49"/>
        <v>0</v>
      </c>
      <c r="AR92" s="150">
        <f t="shared" si="45"/>
        <v>0</v>
      </c>
      <c r="AS92" s="165">
        <f t="shared" si="50"/>
        <v>0</v>
      </c>
      <c r="AT92" s="181"/>
      <c r="AU92" s="167">
        <f t="shared" si="51"/>
        <v>0</v>
      </c>
      <c r="AV92" s="121"/>
      <c r="AW92" s="121"/>
      <c r="AX92" s="121"/>
      <c r="AY92" s="121"/>
      <c r="AZ92" s="121"/>
      <c r="BA92" s="121"/>
      <c r="BB92" s="121"/>
      <c r="BC92" s="121"/>
      <c r="BD92" s="121"/>
      <c r="BE92" s="121"/>
      <c r="BF92" s="121"/>
      <c r="BG92" s="121"/>
    </row>
    <row r="93" spans="1:59" s="122" customFormat="1" ht="15" customHeight="1">
      <c r="A93" s="113">
        <v>10</v>
      </c>
      <c r="B93" s="114" t="s">
        <v>68</v>
      </c>
      <c r="C93" s="115"/>
      <c r="D93" s="116">
        <v>0.05</v>
      </c>
      <c r="E93" s="117">
        <f t="shared" si="53"/>
        <v>83849.150000000009</v>
      </c>
      <c r="F93" s="116"/>
      <c r="G93" s="117">
        <f t="shared" si="16"/>
        <v>0</v>
      </c>
      <c r="H93" s="116"/>
      <c r="I93" s="117">
        <f t="shared" si="54"/>
        <v>0</v>
      </c>
      <c r="J93" s="116"/>
      <c r="K93" s="117">
        <f t="shared" si="26"/>
        <v>0</v>
      </c>
      <c r="L93" s="116"/>
      <c r="M93" s="117">
        <f t="shared" si="32"/>
        <v>0</v>
      </c>
      <c r="N93" s="116"/>
      <c r="O93" s="117">
        <f t="shared" si="19"/>
        <v>0</v>
      </c>
      <c r="P93" s="116"/>
      <c r="Q93" s="117">
        <f t="shared" si="20"/>
        <v>0</v>
      </c>
      <c r="R93" s="116"/>
      <c r="S93" s="117">
        <f t="shared" si="21"/>
        <v>0</v>
      </c>
      <c r="T93" s="116"/>
      <c r="U93" s="117">
        <f t="shared" si="27"/>
        <v>0</v>
      </c>
      <c r="V93" s="116"/>
      <c r="W93" s="117">
        <f t="shared" si="22"/>
        <v>0</v>
      </c>
      <c r="X93" s="116"/>
      <c r="Y93" s="117">
        <f t="shared" si="28"/>
        <v>0</v>
      </c>
      <c r="Z93" s="116">
        <v>1</v>
      </c>
      <c r="AA93" s="117">
        <f t="shared" si="23"/>
        <v>83849.150000000009</v>
      </c>
      <c r="AB93" s="116"/>
      <c r="AC93" s="117">
        <f t="shared" si="29"/>
        <v>0</v>
      </c>
      <c r="AD93" s="116"/>
      <c r="AE93" s="117">
        <f t="shared" si="24"/>
        <v>0</v>
      </c>
      <c r="AF93" s="116"/>
      <c r="AG93" s="118">
        <f t="shared" si="33"/>
        <v>0</v>
      </c>
      <c r="AH93" s="217"/>
      <c r="AI93" s="220"/>
      <c r="AJ93" s="220"/>
      <c r="AK93" s="150">
        <f t="shared" si="55"/>
        <v>0</v>
      </c>
      <c r="AL93" s="119">
        <f t="shared" si="55"/>
        <v>0</v>
      </c>
      <c r="AM93" s="120">
        <f t="shared" si="47"/>
        <v>0</v>
      </c>
      <c r="AN93" s="120">
        <v>0</v>
      </c>
      <c r="AO93" s="164">
        <f t="shared" si="48"/>
        <v>0</v>
      </c>
      <c r="AP93" s="150">
        <v>0</v>
      </c>
      <c r="AQ93" s="119">
        <f t="shared" si="49"/>
        <v>0</v>
      </c>
      <c r="AR93" s="150">
        <f t="shared" si="45"/>
        <v>0</v>
      </c>
      <c r="AS93" s="165">
        <f t="shared" si="50"/>
        <v>0</v>
      </c>
      <c r="AT93" s="181"/>
      <c r="AU93" s="167">
        <f t="shared" si="51"/>
        <v>0</v>
      </c>
      <c r="AV93" s="121"/>
      <c r="AW93" s="121"/>
      <c r="AX93" s="121"/>
      <c r="AY93" s="121"/>
      <c r="AZ93" s="121"/>
      <c r="BA93" s="121"/>
      <c r="BB93" s="121"/>
      <c r="BC93" s="121"/>
      <c r="BD93" s="121"/>
      <c r="BE93" s="121"/>
      <c r="BF93" s="121"/>
      <c r="BG93" s="121"/>
    </row>
    <row r="94" spans="1:59" s="122" customFormat="1" ht="15" customHeight="1">
      <c r="A94" s="113">
        <v>11</v>
      </c>
      <c r="B94" s="114" t="s">
        <v>58</v>
      </c>
      <c r="C94" s="115"/>
      <c r="D94" s="116">
        <v>0.05</v>
      </c>
      <c r="E94" s="117">
        <f t="shared" si="53"/>
        <v>83849.150000000009</v>
      </c>
      <c r="F94" s="116"/>
      <c r="G94" s="117">
        <f t="shared" si="16"/>
        <v>0</v>
      </c>
      <c r="H94" s="116"/>
      <c r="I94" s="117">
        <f t="shared" si="54"/>
        <v>0</v>
      </c>
      <c r="J94" s="116"/>
      <c r="K94" s="117">
        <f t="shared" si="26"/>
        <v>0</v>
      </c>
      <c r="L94" s="116"/>
      <c r="M94" s="117">
        <f t="shared" si="32"/>
        <v>0</v>
      </c>
      <c r="N94" s="116"/>
      <c r="O94" s="117">
        <f t="shared" si="19"/>
        <v>0</v>
      </c>
      <c r="P94" s="116"/>
      <c r="Q94" s="117">
        <f t="shared" si="20"/>
        <v>0</v>
      </c>
      <c r="R94" s="116"/>
      <c r="S94" s="117">
        <f t="shared" si="21"/>
        <v>0</v>
      </c>
      <c r="T94" s="116"/>
      <c r="U94" s="117">
        <f t="shared" si="27"/>
        <v>0</v>
      </c>
      <c r="V94" s="116">
        <v>1</v>
      </c>
      <c r="W94" s="117">
        <f t="shared" si="22"/>
        <v>83849.150000000009</v>
      </c>
      <c r="X94" s="116"/>
      <c r="Y94" s="117">
        <f t="shared" si="28"/>
        <v>0</v>
      </c>
      <c r="Z94" s="116"/>
      <c r="AA94" s="117">
        <f t="shared" si="23"/>
        <v>0</v>
      </c>
      <c r="AB94" s="116"/>
      <c r="AC94" s="117">
        <f t="shared" si="29"/>
        <v>0</v>
      </c>
      <c r="AD94" s="116"/>
      <c r="AE94" s="117">
        <f t="shared" si="24"/>
        <v>0</v>
      </c>
      <c r="AF94" s="116"/>
      <c r="AG94" s="118">
        <f t="shared" si="33"/>
        <v>0</v>
      </c>
      <c r="AH94" s="217"/>
      <c r="AI94" s="220"/>
      <c r="AJ94" s="220"/>
      <c r="AK94" s="150">
        <f t="shared" si="55"/>
        <v>0</v>
      </c>
      <c r="AL94" s="119">
        <f t="shared" si="55"/>
        <v>0</v>
      </c>
      <c r="AM94" s="120">
        <f t="shared" si="47"/>
        <v>0</v>
      </c>
      <c r="AN94" s="120">
        <v>0</v>
      </c>
      <c r="AO94" s="164">
        <f t="shared" si="48"/>
        <v>0</v>
      </c>
      <c r="AP94" s="150">
        <v>0</v>
      </c>
      <c r="AQ94" s="119">
        <f t="shared" si="49"/>
        <v>0</v>
      </c>
      <c r="AR94" s="150">
        <f t="shared" si="45"/>
        <v>0</v>
      </c>
      <c r="AS94" s="165">
        <f t="shared" si="50"/>
        <v>0</v>
      </c>
      <c r="AT94" s="181">
        <f>100%-AK94</f>
        <v>1</v>
      </c>
      <c r="AU94" s="167">
        <f t="shared" si="51"/>
        <v>83849.150000000009</v>
      </c>
      <c r="AV94" s="121"/>
      <c r="AW94" s="121"/>
      <c r="AX94" s="121"/>
      <c r="AY94" s="121"/>
      <c r="AZ94" s="121"/>
      <c r="BA94" s="121"/>
      <c r="BB94" s="121"/>
      <c r="BC94" s="121"/>
      <c r="BD94" s="121"/>
      <c r="BE94" s="121"/>
      <c r="BF94" s="121"/>
      <c r="BG94" s="121"/>
    </row>
    <row r="95" spans="1:59" s="122" customFormat="1" ht="15" customHeight="1">
      <c r="A95" s="113">
        <v>12</v>
      </c>
      <c r="B95" s="114" t="s">
        <v>69</v>
      </c>
      <c r="C95" s="115"/>
      <c r="D95" s="116">
        <v>0.05</v>
      </c>
      <c r="E95" s="117">
        <f t="shared" si="53"/>
        <v>83849.150000000009</v>
      </c>
      <c r="F95" s="116"/>
      <c r="G95" s="117">
        <f t="shared" si="16"/>
        <v>0</v>
      </c>
      <c r="H95" s="116"/>
      <c r="I95" s="117">
        <f t="shared" si="54"/>
        <v>0</v>
      </c>
      <c r="J95" s="116"/>
      <c r="K95" s="117">
        <f t="shared" si="26"/>
        <v>0</v>
      </c>
      <c r="L95" s="116"/>
      <c r="M95" s="117">
        <f t="shared" si="32"/>
        <v>0</v>
      </c>
      <c r="N95" s="116"/>
      <c r="O95" s="117">
        <f t="shared" si="19"/>
        <v>0</v>
      </c>
      <c r="P95" s="116"/>
      <c r="Q95" s="117">
        <f t="shared" si="20"/>
        <v>0</v>
      </c>
      <c r="R95" s="116"/>
      <c r="S95" s="117">
        <f t="shared" si="21"/>
        <v>0</v>
      </c>
      <c r="T95" s="116"/>
      <c r="U95" s="117">
        <f t="shared" si="27"/>
        <v>0</v>
      </c>
      <c r="V95" s="116"/>
      <c r="W95" s="117">
        <f t="shared" si="22"/>
        <v>0</v>
      </c>
      <c r="X95" s="116"/>
      <c r="Y95" s="117">
        <f t="shared" si="28"/>
        <v>0</v>
      </c>
      <c r="Z95" s="116"/>
      <c r="AA95" s="117">
        <f t="shared" si="23"/>
        <v>0</v>
      </c>
      <c r="AB95" s="116"/>
      <c r="AC95" s="117">
        <f t="shared" si="29"/>
        <v>0</v>
      </c>
      <c r="AD95" s="116">
        <v>1</v>
      </c>
      <c r="AE95" s="117">
        <f t="shared" si="24"/>
        <v>83849.150000000009</v>
      </c>
      <c r="AF95" s="116"/>
      <c r="AG95" s="118">
        <f t="shared" si="33"/>
        <v>0</v>
      </c>
      <c r="AH95" s="218"/>
      <c r="AI95" s="221"/>
      <c r="AJ95" s="221"/>
      <c r="AK95" s="150">
        <f t="shared" si="55"/>
        <v>0</v>
      </c>
      <c r="AL95" s="119">
        <f t="shared" si="55"/>
        <v>0</v>
      </c>
      <c r="AM95" s="120">
        <f t="shared" si="47"/>
        <v>0</v>
      </c>
      <c r="AN95" s="120">
        <v>0</v>
      </c>
      <c r="AO95" s="164">
        <f t="shared" si="48"/>
        <v>0</v>
      </c>
      <c r="AP95" s="150">
        <v>0</v>
      </c>
      <c r="AQ95" s="119">
        <f t="shared" si="49"/>
        <v>0</v>
      </c>
      <c r="AR95" s="150">
        <f t="shared" si="45"/>
        <v>0</v>
      </c>
      <c r="AS95" s="165">
        <f t="shared" si="50"/>
        <v>0</v>
      </c>
      <c r="AT95" s="181"/>
      <c r="AU95" s="167">
        <f t="shared" si="51"/>
        <v>0</v>
      </c>
      <c r="AV95" s="121"/>
      <c r="AW95" s="121"/>
      <c r="AX95" s="121"/>
      <c r="AY95" s="121"/>
      <c r="AZ95" s="121"/>
      <c r="BA95" s="121"/>
      <c r="BB95" s="121"/>
      <c r="BC95" s="121"/>
      <c r="BD95" s="121"/>
      <c r="BE95" s="121"/>
      <c r="BF95" s="121"/>
      <c r="BG95" s="121"/>
    </row>
    <row r="96" spans="1:59" ht="15" customHeight="1">
      <c r="A96" s="74" t="s">
        <v>88</v>
      </c>
      <c r="B96" s="75" t="s">
        <v>89</v>
      </c>
      <c r="C96" s="76">
        <f>2874828/2</f>
        <v>1437414</v>
      </c>
      <c r="D96" s="77"/>
      <c r="E96" s="78"/>
      <c r="F96" s="79"/>
      <c r="G96" s="80">
        <f t="shared" si="16"/>
        <v>0</v>
      </c>
      <c r="H96" s="79"/>
      <c r="I96" s="80"/>
      <c r="J96" s="80"/>
      <c r="K96" s="80">
        <f t="shared" si="26"/>
        <v>0</v>
      </c>
      <c r="L96" s="79"/>
      <c r="M96" s="80">
        <f t="shared" si="32"/>
        <v>0</v>
      </c>
      <c r="N96" s="80"/>
      <c r="O96" s="80">
        <f t="shared" si="19"/>
        <v>0</v>
      </c>
      <c r="P96" s="79"/>
      <c r="Q96" s="80">
        <f t="shared" si="20"/>
        <v>0</v>
      </c>
      <c r="R96" s="80"/>
      <c r="S96" s="80">
        <f t="shared" si="21"/>
        <v>0</v>
      </c>
      <c r="T96" s="79"/>
      <c r="U96" s="80">
        <f t="shared" si="27"/>
        <v>0</v>
      </c>
      <c r="V96" s="80"/>
      <c r="W96" s="80">
        <f t="shared" si="22"/>
        <v>0</v>
      </c>
      <c r="X96" s="79"/>
      <c r="Y96" s="80">
        <f t="shared" si="28"/>
        <v>0</v>
      </c>
      <c r="Z96" s="80"/>
      <c r="AA96" s="80">
        <f t="shared" si="23"/>
        <v>0</v>
      </c>
      <c r="AB96" s="79"/>
      <c r="AC96" s="80">
        <f t="shared" si="29"/>
        <v>0</v>
      </c>
      <c r="AD96" s="80"/>
      <c r="AE96" s="80">
        <f t="shared" si="24"/>
        <v>0</v>
      </c>
      <c r="AF96" s="79"/>
      <c r="AG96" s="81">
        <f t="shared" si="33"/>
        <v>0</v>
      </c>
      <c r="AH96" s="216">
        <f>SUM(E97:E103)</f>
        <v>1437414</v>
      </c>
      <c r="AI96" s="219">
        <f>SUM(Y97:Y103)+SUM(U97:U103)+SUM(M97:M103)+SUM(Q97:Q103)</f>
        <v>790577.7</v>
      </c>
      <c r="AJ96" s="222">
        <f>AI96/AH96</f>
        <v>0.54999999999999993</v>
      </c>
      <c r="AK96" s="17">
        <f t="shared" si="55"/>
        <v>0</v>
      </c>
      <c r="AL96" s="23">
        <f t="shared" si="55"/>
        <v>0</v>
      </c>
      <c r="AM96" s="4">
        <f t="shared" si="47"/>
        <v>0</v>
      </c>
      <c r="AN96" s="4">
        <v>0</v>
      </c>
      <c r="AO96" s="136">
        <f t="shared" si="48"/>
        <v>0</v>
      </c>
      <c r="AP96" s="17">
        <v>0</v>
      </c>
      <c r="AQ96" s="23">
        <f t="shared" si="49"/>
        <v>0</v>
      </c>
      <c r="AR96" s="17">
        <f t="shared" si="45"/>
        <v>0</v>
      </c>
      <c r="AS96" s="141">
        <f t="shared" si="50"/>
        <v>0</v>
      </c>
      <c r="AT96" s="158"/>
      <c r="AU96" s="146">
        <f t="shared" si="51"/>
        <v>0</v>
      </c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</row>
    <row r="97" spans="1:59" s="122" customFormat="1" ht="15" customHeight="1">
      <c r="A97" s="113">
        <v>1</v>
      </c>
      <c r="B97" s="114" t="s">
        <v>34</v>
      </c>
      <c r="C97" s="115"/>
      <c r="D97" s="116">
        <v>0.02</v>
      </c>
      <c r="E97" s="117">
        <f t="shared" ref="E97:E103" si="56">+D97*$C$96</f>
        <v>28748.28</v>
      </c>
      <c r="F97" s="116"/>
      <c r="G97" s="117">
        <f t="shared" si="16"/>
        <v>0</v>
      </c>
      <c r="H97" s="116"/>
      <c r="I97" s="117">
        <f>+H97*$E97</f>
        <v>0</v>
      </c>
      <c r="J97" s="116">
        <v>1</v>
      </c>
      <c r="K97" s="117">
        <f t="shared" si="26"/>
        <v>28748.28</v>
      </c>
      <c r="L97" s="116">
        <v>1</v>
      </c>
      <c r="M97" s="117">
        <f t="shared" si="32"/>
        <v>28748.28</v>
      </c>
      <c r="N97" s="116"/>
      <c r="O97" s="117">
        <f t="shared" si="19"/>
        <v>0</v>
      </c>
      <c r="P97" s="116"/>
      <c r="Q97" s="117">
        <f t="shared" si="20"/>
        <v>0</v>
      </c>
      <c r="R97" s="116"/>
      <c r="S97" s="117">
        <f t="shared" si="21"/>
        <v>0</v>
      </c>
      <c r="T97" s="116"/>
      <c r="U97" s="117">
        <f t="shared" si="27"/>
        <v>0</v>
      </c>
      <c r="V97" s="116"/>
      <c r="W97" s="117">
        <f t="shared" si="22"/>
        <v>0</v>
      </c>
      <c r="X97" s="116"/>
      <c r="Y97" s="117">
        <f t="shared" si="28"/>
        <v>0</v>
      </c>
      <c r="Z97" s="116"/>
      <c r="AA97" s="117">
        <f t="shared" si="23"/>
        <v>0</v>
      </c>
      <c r="AB97" s="116"/>
      <c r="AC97" s="117">
        <f t="shared" si="29"/>
        <v>0</v>
      </c>
      <c r="AD97" s="116"/>
      <c r="AE97" s="117">
        <f t="shared" si="24"/>
        <v>0</v>
      </c>
      <c r="AF97" s="116"/>
      <c r="AG97" s="118">
        <f t="shared" si="33"/>
        <v>0</v>
      </c>
      <c r="AH97" s="217"/>
      <c r="AI97" s="220"/>
      <c r="AJ97" s="220"/>
      <c r="AK97" s="150">
        <f t="shared" si="55"/>
        <v>1</v>
      </c>
      <c r="AL97" s="119">
        <f t="shared" si="55"/>
        <v>28748.28</v>
      </c>
      <c r="AM97" s="120">
        <f t="shared" si="47"/>
        <v>1</v>
      </c>
      <c r="AN97" s="120">
        <v>1</v>
      </c>
      <c r="AO97" s="164">
        <f t="shared" si="48"/>
        <v>0</v>
      </c>
      <c r="AP97" s="150">
        <v>1</v>
      </c>
      <c r="AQ97" s="119">
        <f t="shared" si="49"/>
        <v>28748.28</v>
      </c>
      <c r="AR97" s="150">
        <f t="shared" si="45"/>
        <v>0</v>
      </c>
      <c r="AS97" s="165">
        <f t="shared" si="50"/>
        <v>0</v>
      </c>
      <c r="AT97" s="181"/>
      <c r="AU97" s="167">
        <f t="shared" si="51"/>
        <v>0</v>
      </c>
      <c r="AV97" s="121"/>
      <c r="AW97" s="121"/>
      <c r="AX97" s="121"/>
      <c r="AY97" s="121"/>
      <c r="AZ97" s="121"/>
      <c r="BA97" s="121"/>
      <c r="BB97" s="121"/>
      <c r="BC97" s="121"/>
      <c r="BD97" s="121"/>
      <c r="BE97" s="121"/>
      <c r="BF97" s="121"/>
      <c r="BG97" s="121"/>
    </row>
    <row r="98" spans="1:59" s="122" customFormat="1" ht="15" customHeight="1">
      <c r="A98" s="113">
        <v>2</v>
      </c>
      <c r="B98" s="114" t="s">
        <v>90</v>
      </c>
      <c r="C98" s="115"/>
      <c r="D98" s="116">
        <v>0.13</v>
      </c>
      <c r="E98" s="117">
        <f t="shared" si="56"/>
        <v>186863.82</v>
      </c>
      <c r="F98" s="116"/>
      <c r="G98" s="117">
        <f t="shared" si="16"/>
        <v>0</v>
      </c>
      <c r="H98" s="116"/>
      <c r="I98" s="117"/>
      <c r="J98" s="116">
        <v>1</v>
      </c>
      <c r="K98" s="117">
        <f t="shared" si="26"/>
        <v>186863.82</v>
      </c>
      <c r="L98" s="116">
        <v>1</v>
      </c>
      <c r="M98" s="117">
        <f t="shared" si="32"/>
        <v>186863.82</v>
      </c>
      <c r="N98" s="116"/>
      <c r="O98" s="117">
        <f t="shared" si="19"/>
        <v>0</v>
      </c>
      <c r="P98" s="116"/>
      <c r="Q98" s="117">
        <f t="shared" si="20"/>
        <v>0</v>
      </c>
      <c r="R98" s="116"/>
      <c r="S98" s="117">
        <f t="shared" si="21"/>
        <v>0</v>
      </c>
      <c r="T98" s="116"/>
      <c r="U98" s="117">
        <f t="shared" si="27"/>
        <v>0</v>
      </c>
      <c r="V98" s="116"/>
      <c r="W98" s="117">
        <f t="shared" si="22"/>
        <v>0</v>
      </c>
      <c r="X98" s="116"/>
      <c r="Y98" s="117">
        <f t="shared" si="28"/>
        <v>0</v>
      </c>
      <c r="Z98" s="116"/>
      <c r="AA98" s="117">
        <f t="shared" si="23"/>
        <v>0</v>
      </c>
      <c r="AB98" s="116"/>
      <c r="AC98" s="117">
        <f t="shared" si="29"/>
        <v>0</v>
      </c>
      <c r="AD98" s="116"/>
      <c r="AE98" s="117">
        <f t="shared" si="24"/>
        <v>0</v>
      </c>
      <c r="AF98" s="116"/>
      <c r="AG98" s="118">
        <f t="shared" si="33"/>
        <v>0</v>
      </c>
      <c r="AH98" s="217"/>
      <c r="AI98" s="220"/>
      <c r="AJ98" s="220"/>
      <c r="AK98" s="150">
        <f t="shared" si="55"/>
        <v>1</v>
      </c>
      <c r="AL98" s="119">
        <f t="shared" si="55"/>
        <v>186863.82</v>
      </c>
      <c r="AM98" s="120">
        <f t="shared" si="47"/>
        <v>1</v>
      </c>
      <c r="AN98" s="120">
        <v>1</v>
      </c>
      <c r="AO98" s="164">
        <f t="shared" si="48"/>
        <v>0</v>
      </c>
      <c r="AP98" s="150">
        <v>1</v>
      </c>
      <c r="AQ98" s="119">
        <f t="shared" si="49"/>
        <v>186863.82</v>
      </c>
      <c r="AR98" s="150">
        <f t="shared" si="45"/>
        <v>0</v>
      </c>
      <c r="AS98" s="165">
        <f t="shared" si="50"/>
        <v>0</v>
      </c>
      <c r="AT98" s="181"/>
      <c r="AU98" s="167">
        <f t="shared" si="51"/>
        <v>0</v>
      </c>
      <c r="AV98" s="121"/>
      <c r="AW98" s="121"/>
      <c r="AX98" s="121"/>
      <c r="AY98" s="121"/>
      <c r="AZ98" s="121"/>
      <c r="BA98" s="121"/>
      <c r="BB98" s="121"/>
      <c r="BC98" s="121"/>
      <c r="BD98" s="121"/>
      <c r="BE98" s="121"/>
      <c r="BF98" s="121"/>
      <c r="BG98" s="121"/>
    </row>
    <row r="99" spans="1:59" s="122" customFormat="1" ht="15" customHeight="1">
      <c r="A99" s="113">
        <v>3</v>
      </c>
      <c r="B99" s="114" t="s">
        <v>53</v>
      </c>
      <c r="C99" s="115"/>
      <c r="D99" s="116">
        <v>0.15</v>
      </c>
      <c r="E99" s="117">
        <f t="shared" si="56"/>
        <v>215612.1</v>
      </c>
      <c r="F99" s="116"/>
      <c r="G99" s="117">
        <f t="shared" si="16"/>
        <v>0</v>
      </c>
      <c r="H99" s="116"/>
      <c r="I99" s="117"/>
      <c r="J99" s="116">
        <v>1</v>
      </c>
      <c r="K99" s="117">
        <f t="shared" si="26"/>
        <v>215612.1</v>
      </c>
      <c r="L99" s="116">
        <v>1</v>
      </c>
      <c r="M99" s="117">
        <f t="shared" si="32"/>
        <v>215612.1</v>
      </c>
      <c r="N99" s="116"/>
      <c r="O99" s="117">
        <f t="shared" si="19"/>
        <v>0</v>
      </c>
      <c r="P99" s="116"/>
      <c r="Q99" s="117">
        <f t="shared" si="20"/>
        <v>0</v>
      </c>
      <c r="R99" s="116"/>
      <c r="S99" s="117">
        <f t="shared" si="21"/>
        <v>0</v>
      </c>
      <c r="T99" s="116"/>
      <c r="U99" s="117">
        <f t="shared" si="27"/>
        <v>0</v>
      </c>
      <c r="V99" s="116"/>
      <c r="W99" s="117">
        <f t="shared" si="22"/>
        <v>0</v>
      </c>
      <c r="X99" s="116"/>
      <c r="Y99" s="117">
        <f t="shared" si="28"/>
        <v>0</v>
      </c>
      <c r="Z99" s="116"/>
      <c r="AA99" s="117">
        <f t="shared" si="23"/>
        <v>0</v>
      </c>
      <c r="AB99" s="116"/>
      <c r="AC99" s="117">
        <f t="shared" si="29"/>
        <v>0</v>
      </c>
      <c r="AD99" s="116"/>
      <c r="AE99" s="117">
        <f t="shared" si="24"/>
        <v>0</v>
      </c>
      <c r="AF99" s="116"/>
      <c r="AG99" s="118">
        <f t="shared" si="33"/>
        <v>0</v>
      </c>
      <c r="AH99" s="217"/>
      <c r="AI99" s="220"/>
      <c r="AJ99" s="220"/>
      <c r="AK99" s="150">
        <f t="shared" si="55"/>
        <v>1</v>
      </c>
      <c r="AL99" s="119">
        <f t="shared" si="55"/>
        <v>215612.1</v>
      </c>
      <c r="AM99" s="120">
        <f t="shared" si="47"/>
        <v>1</v>
      </c>
      <c r="AN99" s="120">
        <v>1</v>
      </c>
      <c r="AO99" s="164">
        <f t="shared" si="48"/>
        <v>0</v>
      </c>
      <c r="AP99" s="150">
        <v>1</v>
      </c>
      <c r="AQ99" s="119">
        <f t="shared" si="49"/>
        <v>215612.1</v>
      </c>
      <c r="AR99" s="150">
        <f t="shared" si="45"/>
        <v>0</v>
      </c>
      <c r="AS99" s="165">
        <f t="shared" si="50"/>
        <v>0</v>
      </c>
      <c r="AT99" s="181"/>
      <c r="AU99" s="167">
        <f t="shared" si="51"/>
        <v>0</v>
      </c>
      <c r="AV99" s="121"/>
      <c r="AW99" s="121"/>
      <c r="AX99" s="121"/>
      <c r="AY99" s="121"/>
      <c r="AZ99" s="121"/>
      <c r="BA99" s="121"/>
      <c r="BB99" s="121"/>
      <c r="BC99" s="121"/>
      <c r="BD99" s="121"/>
      <c r="BE99" s="121"/>
      <c r="BF99" s="121"/>
      <c r="BG99" s="121"/>
    </row>
    <row r="100" spans="1:59" s="122" customFormat="1" ht="15" customHeight="1">
      <c r="A100" s="113">
        <v>4</v>
      </c>
      <c r="B100" s="114" t="s">
        <v>54</v>
      </c>
      <c r="C100" s="115"/>
      <c r="D100" s="116">
        <v>0.25</v>
      </c>
      <c r="E100" s="117">
        <f t="shared" si="56"/>
        <v>359353.5</v>
      </c>
      <c r="F100" s="116"/>
      <c r="G100" s="117">
        <f t="shared" si="16"/>
        <v>0</v>
      </c>
      <c r="H100" s="116"/>
      <c r="I100" s="117">
        <f t="shared" ref="I100:I103" si="57">+H100*$E100</f>
        <v>0</v>
      </c>
      <c r="J100" s="116"/>
      <c r="K100" s="117">
        <f t="shared" si="26"/>
        <v>0</v>
      </c>
      <c r="L100" s="116"/>
      <c r="M100" s="117">
        <f t="shared" si="32"/>
        <v>0</v>
      </c>
      <c r="N100" s="116"/>
      <c r="O100" s="117">
        <f t="shared" si="19"/>
        <v>0</v>
      </c>
      <c r="P100" s="116"/>
      <c r="Q100" s="117">
        <f t="shared" si="20"/>
        <v>0</v>
      </c>
      <c r="R100" s="116">
        <v>1</v>
      </c>
      <c r="S100" s="117">
        <f t="shared" si="21"/>
        <v>359353.5</v>
      </c>
      <c r="T100" s="123">
        <v>1</v>
      </c>
      <c r="U100" s="117">
        <f t="shared" si="27"/>
        <v>359353.5</v>
      </c>
      <c r="V100" s="116"/>
      <c r="W100" s="117">
        <f t="shared" si="22"/>
        <v>0</v>
      </c>
      <c r="X100" s="116"/>
      <c r="Y100" s="117">
        <f t="shared" si="28"/>
        <v>0</v>
      </c>
      <c r="Z100" s="116"/>
      <c r="AA100" s="117">
        <f t="shared" si="23"/>
        <v>0</v>
      </c>
      <c r="AB100" s="116"/>
      <c r="AC100" s="117">
        <f t="shared" si="29"/>
        <v>0</v>
      </c>
      <c r="AD100" s="116"/>
      <c r="AE100" s="117">
        <f t="shared" si="24"/>
        <v>0</v>
      </c>
      <c r="AF100" s="116"/>
      <c r="AG100" s="118">
        <f t="shared" si="33"/>
        <v>0</v>
      </c>
      <c r="AH100" s="217"/>
      <c r="AI100" s="220"/>
      <c r="AJ100" s="220"/>
      <c r="AK100" s="150">
        <f t="shared" si="55"/>
        <v>1</v>
      </c>
      <c r="AL100" s="119">
        <f t="shared" si="55"/>
        <v>359353.5</v>
      </c>
      <c r="AM100" s="120">
        <f t="shared" si="47"/>
        <v>1</v>
      </c>
      <c r="AN100" s="120">
        <v>0.4</v>
      </c>
      <c r="AO100" s="164">
        <f t="shared" si="48"/>
        <v>0.6</v>
      </c>
      <c r="AP100" s="150">
        <v>0.2545</v>
      </c>
      <c r="AQ100" s="119">
        <f t="shared" si="49"/>
        <v>91455.465750000003</v>
      </c>
      <c r="AR100" s="150">
        <f t="shared" si="45"/>
        <v>0.74550000000000005</v>
      </c>
      <c r="AS100" s="165">
        <f t="shared" si="50"/>
        <v>267898.03425000003</v>
      </c>
      <c r="AT100" s="181">
        <f t="shared" ref="AT100:AT101" si="58">100%-AK100</f>
        <v>0</v>
      </c>
      <c r="AU100" s="167">
        <f t="shared" si="51"/>
        <v>0</v>
      </c>
      <c r="AV100" s="121"/>
      <c r="AW100" s="121"/>
      <c r="AX100" s="121"/>
      <c r="AY100" s="121"/>
      <c r="AZ100" s="121"/>
      <c r="BA100" s="121"/>
      <c r="BB100" s="121"/>
      <c r="BC100" s="121"/>
      <c r="BD100" s="121"/>
      <c r="BE100" s="121"/>
      <c r="BF100" s="121"/>
      <c r="BG100" s="121"/>
    </row>
    <row r="101" spans="1:59" s="122" customFormat="1" ht="15" customHeight="1">
      <c r="A101" s="113">
        <v>5</v>
      </c>
      <c r="B101" s="114" t="s">
        <v>91</v>
      </c>
      <c r="C101" s="115"/>
      <c r="D101" s="116">
        <v>0.2</v>
      </c>
      <c r="E101" s="117">
        <f t="shared" si="56"/>
        <v>287482.8</v>
      </c>
      <c r="F101" s="116"/>
      <c r="G101" s="117">
        <f t="shared" si="16"/>
        <v>0</v>
      </c>
      <c r="H101" s="116"/>
      <c r="I101" s="117">
        <f t="shared" si="57"/>
        <v>0</v>
      </c>
      <c r="J101" s="116"/>
      <c r="K101" s="117">
        <f t="shared" si="26"/>
        <v>0</v>
      </c>
      <c r="L101" s="116"/>
      <c r="M101" s="117">
        <f t="shared" si="32"/>
        <v>0</v>
      </c>
      <c r="N101" s="116"/>
      <c r="O101" s="117">
        <f t="shared" si="19"/>
        <v>0</v>
      </c>
      <c r="P101" s="116"/>
      <c r="Q101" s="117">
        <f t="shared" si="20"/>
        <v>0</v>
      </c>
      <c r="R101" s="116">
        <v>1</v>
      </c>
      <c r="S101" s="117">
        <f t="shared" si="21"/>
        <v>287482.8</v>
      </c>
      <c r="T101" s="116"/>
      <c r="U101" s="117">
        <f t="shared" si="27"/>
        <v>0</v>
      </c>
      <c r="V101" s="116"/>
      <c r="W101" s="117">
        <f t="shared" si="22"/>
        <v>0</v>
      </c>
      <c r="X101" s="116"/>
      <c r="Y101" s="117">
        <f t="shared" si="28"/>
        <v>0</v>
      </c>
      <c r="Z101" s="116"/>
      <c r="AA101" s="117">
        <f t="shared" si="23"/>
        <v>0</v>
      </c>
      <c r="AB101" s="116"/>
      <c r="AC101" s="117">
        <f t="shared" si="29"/>
        <v>0</v>
      </c>
      <c r="AD101" s="116"/>
      <c r="AE101" s="117">
        <f t="shared" si="24"/>
        <v>0</v>
      </c>
      <c r="AF101" s="116"/>
      <c r="AG101" s="118">
        <f t="shared" si="33"/>
        <v>0</v>
      </c>
      <c r="AH101" s="217"/>
      <c r="AI101" s="220"/>
      <c r="AJ101" s="220"/>
      <c r="AK101" s="150">
        <f t="shared" si="55"/>
        <v>0</v>
      </c>
      <c r="AL101" s="119">
        <f t="shared" si="55"/>
        <v>0</v>
      </c>
      <c r="AM101" s="120">
        <f t="shared" si="47"/>
        <v>0</v>
      </c>
      <c r="AN101" s="120">
        <v>0</v>
      </c>
      <c r="AO101" s="164">
        <f t="shared" si="48"/>
        <v>0</v>
      </c>
      <c r="AP101" s="150">
        <v>0</v>
      </c>
      <c r="AQ101" s="119">
        <f t="shared" si="49"/>
        <v>0</v>
      </c>
      <c r="AR101" s="150">
        <f t="shared" si="45"/>
        <v>0</v>
      </c>
      <c r="AS101" s="165">
        <f t="shared" si="50"/>
        <v>0</v>
      </c>
      <c r="AT101" s="181">
        <f t="shared" si="58"/>
        <v>1</v>
      </c>
      <c r="AU101" s="167">
        <f t="shared" si="51"/>
        <v>287482.8</v>
      </c>
      <c r="AV101" s="121"/>
      <c r="AW101" s="121"/>
      <c r="AX101" s="121"/>
      <c r="AY101" s="121"/>
      <c r="AZ101" s="121"/>
      <c r="BA101" s="121"/>
      <c r="BB101" s="121"/>
      <c r="BC101" s="121"/>
      <c r="BD101" s="121"/>
      <c r="BE101" s="121"/>
      <c r="BF101" s="121"/>
      <c r="BG101" s="121"/>
    </row>
    <row r="102" spans="1:59" s="122" customFormat="1" ht="15" customHeight="1">
      <c r="A102" s="113">
        <v>6</v>
      </c>
      <c r="B102" s="114" t="s">
        <v>92</v>
      </c>
      <c r="C102" s="115"/>
      <c r="D102" s="116">
        <v>0.2</v>
      </c>
      <c r="E102" s="117">
        <f t="shared" si="56"/>
        <v>287482.8</v>
      </c>
      <c r="F102" s="116"/>
      <c r="G102" s="117">
        <f t="shared" si="16"/>
        <v>0</v>
      </c>
      <c r="H102" s="116"/>
      <c r="I102" s="117">
        <f t="shared" si="57"/>
        <v>0</v>
      </c>
      <c r="J102" s="116"/>
      <c r="K102" s="117">
        <f t="shared" si="26"/>
        <v>0</v>
      </c>
      <c r="L102" s="116"/>
      <c r="M102" s="117">
        <f t="shared" si="32"/>
        <v>0</v>
      </c>
      <c r="N102" s="116"/>
      <c r="O102" s="117">
        <f t="shared" si="19"/>
        <v>0</v>
      </c>
      <c r="P102" s="116"/>
      <c r="Q102" s="117">
        <f t="shared" si="20"/>
        <v>0</v>
      </c>
      <c r="R102" s="116">
        <v>1</v>
      </c>
      <c r="S102" s="117">
        <f t="shared" si="21"/>
        <v>287482.8</v>
      </c>
      <c r="T102" s="116"/>
      <c r="U102" s="117">
        <f t="shared" si="27"/>
        <v>0</v>
      </c>
      <c r="V102" s="116"/>
      <c r="W102" s="117">
        <f t="shared" si="22"/>
        <v>0</v>
      </c>
      <c r="X102" s="116"/>
      <c r="Y102" s="117">
        <f t="shared" si="28"/>
        <v>0</v>
      </c>
      <c r="Z102" s="116"/>
      <c r="AA102" s="117">
        <f t="shared" si="23"/>
        <v>0</v>
      </c>
      <c r="AB102" s="116"/>
      <c r="AC102" s="117">
        <f t="shared" si="29"/>
        <v>0</v>
      </c>
      <c r="AD102" s="116"/>
      <c r="AE102" s="117">
        <f t="shared" si="24"/>
        <v>0</v>
      </c>
      <c r="AF102" s="116"/>
      <c r="AG102" s="118">
        <f t="shared" si="33"/>
        <v>0</v>
      </c>
      <c r="AH102" s="217"/>
      <c r="AI102" s="220"/>
      <c r="AJ102" s="220"/>
      <c r="AK102" s="150">
        <f t="shared" si="55"/>
        <v>0</v>
      </c>
      <c r="AL102" s="119">
        <f t="shared" si="55"/>
        <v>0</v>
      </c>
      <c r="AM102" s="120">
        <f t="shared" si="47"/>
        <v>0</v>
      </c>
      <c r="AN102" s="120">
        <v>0</v>
      </c>
      <c r="AO102" s="164">
        <f t="shared" si="48"/>
        <v>0</v>
      </c>
      <c r="AP102" s="150">
        <v>0</v>
      </c>
      <c r="AQ102" s="119">
        <f t="shared" si="49"/>
        <v>0</v>
      </c>
      <c r="AR102" s="150">
        <f t="shared" si="45"/>
        <v>0</v>
      </c>
      <c r="AS102" s="165">
        <f t="shared" si="50"/>
        <v>0</v>
      </c>
      <c r="AT102" s="166"/>
      <c r="AU102" s="167">
        <f t="shared" si="51"/>
        <v>0</v>
      </c>
      <c r="AV102" s="124"/>
      <c r="AW102" s="124"/>
      <c r="AX102" s="124"/>
      <c r="AY102" s="124"/>
      <c r="AZ102" s="124"/>
      <c r="BA102" s="124"/>
      <c r="BB102" s="124"/>
      <c r="BC102" s="124"/>
      <c r="BD102" s="124"/>
      <c r="BE102" s="124"/>
      <c r="BF102" s="124"/>
      <c r="BG102" s="124"/>
    </row>
    <row r="103" spans="1:59" s="122" customFormat="1" ht="15" customHeight="1">
      <c r="A103" s="113">
        <v>7</v>
      </c>
      <c r="B103" s="114" t="s">
        <v>44</v>
      </c>
      <c r="C103" s="115"/>
      <c r="D103" s="116">
        <v>0.05</v>
      </c>
      <c r="E103" s="117">
        <f t="shared" si="56"/>
        <v>71870.7</v>
      </c>
      <c r="F103" s="116"/>
      <c r="G103" s="117">
        <f t="shared" si="16"/>
        <v>0</v>
      </c>
      <c r="H103" s="116"/>
      <c r="I103" s="117">
        <f t="shared" si="57"/>
        <v>0</v>
      </c>
      <c r="J103" s="116"/>
      <c r="K103" s="117">
        <f t="shared" si="26"/>
        <v>0</v>
      </c>
      <c r="L103" s="116"/>
      <c r="M103" s="117">
        <f t="shared" si="32"/>
        <v>0</v>
      </c>
      <c r="N103" s="116"/>
      <c r="O103" s="117">
        <f t="shared" si="19"/>
        <v>0</v>
      </c>
      <c r="P103" s="116"/>
      <c r="Q103" s="117">
        <f t="shared" si="20"/>
        <v>0</v>
      </c>
      <c r="R103" s="116"/>
      <c r="S103" s="117">
        <f t="shared" si="21"/>
        <v>0</v>
      </c>
      <c r="T103" s="116"/>
      <c r="U103" s="117">
        <f t="shared" si="27"/>
        <v>0</v>
      </c>
      <c r="V103" s="116">
        <v>1</v>
      </c>
      <c r="W103" s="117">
        <f t="shared" si="22"/>
        <v>71870.7</v>
      </c>
      <c r="X103" s="116"/>
      <c r="Y103" s="117">
        <f t="shared" si="28"/>
        <v>0</v>
      </c>
      <c r="Z103" s="116"/>
      <c r="AA103" s="117">
        <f t="shared" si="23"/>
        <v>0</v>
      </c>
      <c r="AB103" s="116"/>
      <c r="AC103" s="117">
        <f t="shared" si="29"/>
        <v>0</v>
      </c>
      <c r="AD103" s="116"/>
      <c r="AE103" s="117">
        <f t="shared" si="24"/>
        <v>0</v>
      </c>
      <c r="AF103" s="116"/>
      <c r="AG103" s="118">
        <f t="shared" si="33"/>
        <v>0</v>
      </c>
      <c r="AH103" s="218"/>
      <c r="AI103" s="221"/>
      <c r="AJ103" s="221"/>
      <c r="AK103" s="150">
        <f t="shared" si="55"/>
        <v>0</v>
      </c>
      <c r="AL103" s="119">
        <f t="shared" si="55"/>
        <v>0</v>
      </c>
      <c r="AM103" s="120">
        <f t="shared" si="47"/>
        <v>0</v>
      </c>
      <c r="AN103" s="120">
        <v>0</v>
      </c>
      <c r="AO103" s="164">
        <f t="shared" si="48"/>
        <v>0</v>
      </c>
      <c r="AP103" s="150">
        <v>0</v>
      </c>
      <c r="AQ103" s="119">
        <f t="shared" si="49"/>
        <v>0</v>
      </c>
      <c r="AR103" s="150">
        <f t="shared" si="45"/>
        <v>0</v>
      </c>
      <c r="AS103" s="165">
        <f t="shared" si="50"/>
        <v>0</v>
      </c>
      <c r="AT103" s="181"/>
      <c r="AU103" s="167">
        <f t="shared" si="51"/>
        <v>0</v>
      </c>
      <c r="AV103" s="121"/>
      <c r="AW103" s="121"/>
      <c r="AX103" s="121"/>
      <c r="AY103" s="121"/>
      <c r="AZ103" s="121"/>
      <c r="BA103" s="121"/>
      <c r="BB103" s="121"/>
      <c r="BC103" s="121"/>
      <c r="BD103" s="121"/>
      <c r="BE103" s="121"/>
      <c r="BF103" s="121"/>
      <c r="BG103" s="121"/>
    </row>
    <row r="104" spans="1:59" ht="15" customHeight="1">
      <c r="A104" s="74" t="s">
        <v>93</v>
      </c>
      <c r="B104" s="75" t="s">
        <v>94</v>
      </c>
      <c r="C104" s="76">
        <v>1437414</v>
      </c>
      <c r="D104" s="77"/>
      <c r="E104" s="78"/>
      <c r="F104" s="79"/>
      <c r="G104" s="80">
        <f t="shared" si="16"/>
        <v>0</v>
      </c>
      <c r="H104" s="79"/>
      <c r="I104" s="80"/>
      <c r="J104" s="80"/>
      <c r="K104" s="80">
        <f t="shared" si="26"/>
        <v>0</v>
      </c>
      <c r="L104" s="79"/>
      <c r="M104" s="80">
        <f t="shared" si="32"/>
        <v>0</v>
      </c>
      <c r="N104" s="80"/>
      <c r="O104" s="80">
        <f t="shared" si="19"/>
        <v>0</v>
      </c>
      <c r="P104" s="79"/>
      <c r="Q104" s="80">
        <f t="shared" si="20"/>
        <v>0</v>
      </c>
      <c r="R104" s="80"/>
      <c r="S104" s="80">
        <f t="shared" si="21"/>
        <v>0</v>
      </c>
      <c r="T104" s="79"/>
      <c r="U104" s="80">
        <f t="shared" si="27"/>
        <v>0</v>
      </c>
      <c r="V104" s="80"/>
      <c r="W104" s="80">
        <f t="shared" si="22"/>
        <v>0</v>
      </c>
      <c r="X104" s="79"/>
      <c r="Y104" s="80">
        <f t="shared" si="28"/>
        <v>0</v>
      </c>
      <c r="Z104" s="80"/>
      <c r="AA104" s="80">
        <f t="shared" si="23"/>
        <v>0</v>
      </c>
      <c r="AB104" s="79"/>
      <c r="AC104" s="80">
        <f t="shared" si="29"/>
        <v>0</v>
      </c>
      <c r="AD104" s="80"/>
      <c r="AE104" s="80">
        <f t="shared" si="24"/>
        <v>0</v>
      </c>
      <c r="AF104" s="79"/>
      <c r="AG104" s="81">
        <f t="shared" si="33"/>
        <v>0</v>
      </c>
      <c r="AH104" s="216">
        <f>SUM(E105:E113)</f>
        <v>1437413.9999999998</v>
      </c>
      <c r="AI104" s="219">
        <f>SUM(AC105:AC113)+SUM(U105:U113)+SUM(M105:M113)+SUM(Q105:Q113)+SUM(Y105:Y113)+SUM(AG105:AG113)</f>
        <v>977441.52000000014</v>
      </c>
      <c r="AJ104" s="222">
        <f>AI104/AH104</f>
        <v>0.68000000000000016</v>
      </c>
      <c r="AK104" s="17">
        <f t="shared" ref="AK104:AL119" si="59">F104+H104+L104+P104+T104+X104+AB104+AF104</f>
        <v>0</v>
      </c>
      <c r="AL104" s="23">
        <f t="shared" si="59"/>
        <v>0</v>
      </c>
      <c r="AM104" s="4">
        <f t="shared" si="47"/>
        <v>0</v>
      </c>
      <c r="AN104" s="4">
        <v>0</v>
      </c>
      <c r="AO104" s="136">
        <f t="shared" si="48"/>
        <v>0</v>
      </c>
      <c r="AP104" s="17">
        <v>0</v>
      </c>
      <c r="AQ104" s="23">
        <f t="shared" si="49"/>
        <v>0</v>
      </c>
      <c r="AR104" s="17">
        <f t="shared" si="45"/>
        <v>0</v>
      </c>
      <c r="AS104" s="141">
        <f t="shared" si="50"/>
        <v>0</v>
      </c>
      <c r="AT104" s="158"/>
      <c r="AU104" s="146">
        <f t="shared" si="51"/>
        <v>0</v>
      </c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</row>
    <row r="105" spans="1:59" s="122" customFormat="1" ht="15" customHeight="1">
      <c r="A105" s="113">
        <v>1</v>
      </c>
      <c r="B105" s="114" t="s">
        <v>34</v>
      </c>
      <c r="C105" s="115"/>
      <c r="D105" s="116">
        <v>0.02</v>
      </c>
      <c r="E105" s="117">
        <f t="shared" ref="E105:E113" si="60">+D105*$C$104</f>
        <v>28748.28</v>
      </c>
      <c r="F105" s="116"/>
      <c r="G105" s="117">
        <f t="shared" si="16"/>
        <v>0</v>
      </c>
      <c r="H105" s="116"/>
      <c r="I105" s="117">
        <f>+H105*$E105</f>
        <v>0</v>
      </c>
      <c r="J105" s="116">
        <v>1</v>
      </c>
      <c r="K105" s="117">
        <f t="shared" si="26"/>
        <v>28748.28</v>
      </c>
      <c r="L105" s="116">
        <v>1</v>
      </c>
      <c r="M105" s="117">
        <f t="shared" si="32"/>
        <v>28748.28</v>
      </c>
      <c r="N105" s="116"/>
      <c r="O105" s="117">
        <f t="shared" si="19"/>
        <v>0</v>
      </c>
      <c r="P105" s="116"/>
      <c r="Q105" s="117">
        <f t="shared" si="20"/>
        <v>0</v>
      </c>
      <c r="R105" s="116"/>
      <c r="S105" s="117">
        <f t="shared" si="21"/>
        <v>0</v>
      </c>
      <c r="T105" s="116"/>
      <c r="U105" s="117">
        <f t="shared" si="27"/>
        <v>0</v>
      </c>
      <c r="V105" s="116"/>
      <c r="W105" s="117">
        <f t="shared" si="22"/>
        <v>0</v>
      </c>
      <c r="X105" s="116"/>
      <c r="Y105" s="117">
        <f t="shared" si="28"/>
        <v>0</v>
      </c>
      <c r="Z105" s="116"/>
      <c r="AA105" s="117">
        <f t="shared" si="23"/>
        <v>0</v>
      </c>
      <c r="AB105" s="116"/>
      <c r="AC105" s="117">
        <f t="shared" si="29"/>
        <v>0</v>
      </c>
      <c r="AD105" s="116"/>
      <c r="AE105" s="117">
        <f t="shared" si="24"/>
        <v>0</v>
      </c>
      <c r="AF105" s="116"/>
      <c r="AG105" s="118">
        <f t="shared" si="33"/>
        <v>0</v>
      </c>
      <c r="AH105" s="217"/>
      <c r="AI105" s="220"/>
      <c r="AJ105" s="220"/>
      <c r="AK105" s="150">
        <f t="shared" si="59"/>
        <v>1</v>
      </c>
      <c r="AL105" s="119">
        <f t="shared" si="59"/>
        <v>28748.28</v>
      </c>
      <c r="AM105" s="120">
        <f t="shared" si="47"/>
        <v>1</v>
      </c>
      <c r="AN105" s="120">
        <v>1</v>
      </c>
      <c r="AO105" s="164">
        <f t="shared" si="48"/>
        <v>0</v>
      </c>
      <c r="AP105" s="150">
        <v>1</v>
      </c>
      <c r="AQ105" s="119">
        <f t="shared" si="49"/>
        <v>28748.28</v>
      </c>
      <c r="AR105" s="150">
        <f t="shared" si="45"/>
        <v>0</v>
      </c>
      <c r="AS105" s="165">
        <f t="shared" si="50"/>
        <v>0</v>
      </c>
      <c r="AT105" s="181"/>
      <c r="AU105" s="167">
        <f t="shared" si="51"/>
        <v>0</v>
      </c>
      <c r="AV105" s="121"/>
      <c r="AW105" s="121"/>
      <c r="AX105" s="121"/>
      <c r="AY105" s="121"/>
      <c r="AZ105" s="121"/>
      <c r="BA105" s="121"/>
      <c r="BB105" s="121"/>
      <c r="BC105" s="121"/>
      <c r="BD105" s="121"/>
      <c r="BE105" s="121"/>
      <c r="BF105" s="121"/>
      <c r="BG105" s="121"/>
    </row>
    <row r="106" spans="1:59" s="122" customFormat="1" ht="15" customHeight="1">
      <c r="A106" s="113">
        <v>2</v>
      </c>
      <c r="B106" s="114" t="s">
        <v>47</v>
      </c>
      <c r="C106" s="115"/>
      <c r="D106" s="116">
        <v>0.13</v>
      </c>
      <c r="E106" s="117">
        <f t="shared" si="60"/>
        <v>186863.82</v>
      </c>
      <c r="F106" s="116"/>
      <c r="G106" s="117">
        <f t="shared" si="16"/>
        <v>0</v>
      </c>
      <c r="H106" s="116"/>
      <c r="I106" s="117"/>
      <c r="J106" s="116">
        <v>1</v>
      </c>
      <c r="K106" s="117">
        <f t="shared" si="26"/>
        <v>186863.82</v>
      </c>
      <c r="L106" s="116">
        <v>1</v>
      </c>
      <c r="M106" s="117">
        <f t="shared" si="32"/>
        <v>186863.82</v>
      </c>
      <c r="N106" s="116"/>
      <c r="O106" s="117">
        <f t="shared" si="19"/>
        <v>0</v>
      </c>
      <c r="P106" s="116"/>
      <c r="Q106" s="117">
        <f t="shared" si="20"/>
        <v>0</v>
      </c>
      <c r="R106" s="116"/>
      <c r="S106" s="117">
        <f t="shared" si="21"/>
        <v>0</v>
      </c>
      <c r="T106" s="116"/>
      <c r="U106" s="117">
        <f t="shared" si="27"/>
        <v>0</v>
      </c>
      <c r="V106" s="116"/>
      <c r="W106" s="117">
        <f t="shared" si="22"/>
        <v>0</v>
      </c>
      <c r="X106" s="116"/>
      <c r="Y106" s="117">
        <f t="shared" si="28"/>
        <v>0</v>
      </c>
      <c r="Z106" s="116"/>
      <c r="AA106" s="117">
        <f t="shared" si="23"/>
        <v>0</v>
      </c>
      <c r="AB106" s="116"/>
      <c r="AC106" s="117">
        <f t="shared" si="29"/>
        <v>0</v>
      </c>
      <c r="AD106" s="116"/>
      <c r="AE106" s="117">
        <f t="shared" si="24"/>
        <v>0</v>
      </c>
      <c r="AF106" s="116"/>
      <c r="AG106" s="118">
        <f t="shared" si="33"/>
        <v>0</v>
      </c>
      <c r="AH106" s="217"/>
      <c r="AI106" s="220"/>
      <c r="AJ106" s="220"/>
      <c r="AK106" s="150">
        <f t="shared" si="59"/>
        <v>1</v>
      </c>
      <c r="AL106" s="119">
        <f t="shared" si="59"/>
        <v>186863.82</v>
      </c>
      <c r="AM106" s="120">
        <f t="shared" si="47"/>
        <v>1</v>
      </c>
      <c r="AN106" s="120">
        <v>1</v>
      </c>
      <c r="AO106" s="164">
        <f t="shared" si="48"/>
        <v>0</v>
      </c>
      <c r="AP106" s="150">
        <v>1</v>
      </c>
      <c r="AQ106" s="119">
        <f t="shared" si="49"/>
        <v>186863.82</v>
      </c>
      <c r="AR106" s="150">
        <f t="shared" si="45"/>
        <v>0</v>
      </c>
      <c r="AS106" s="165">
        <f t="shared" si="50"/>
        <v>0</v>
      </c>
      <c r="AT106" s="181"/>
      <c r="AU106" s="167">
        <f t="shared" si="51"/>
        <v>0</v>
      </c>
      <c r="AV106" s="121"/>
      <c r="AW106" s="121"/>
      <c r="AX106" s="121"/>
      <c r="AY106" s="121"/>
      <c r="AZ106" s="121"/>
      <c r="BA106" s="121"/>
      <c r="BB106" s="121"/>
      <c r="BC106" s="121"/>
      <c r="BD106" s="121"/>
      <c r="BE106" s="121"/>
      <c r="BF106" s="121"/>
      <c r="BG106" s="121"/>
    </row>
    <row r="107" spans="1:59" s="122" customFormat="1" ht="15" customHeight="1">
      <c r="A107" s="113">
        <v>3</v>
      </c>
      <c r="B107" s="114" t="s">
        <v>48</v>
      </c>
      <c r="C107" s="115"/>
      <c r="D107" s="116">
        <v>0.15</v>
      </c>
      <c r="E107" s="117">
        <f t="shared" si="60"/>
        <v>215612.1</v>
      </c>
      <c r="F107" s="116"/>
      <c r="G107" s="117">
        <f t="shared" si="16"/>
        <v>0</v>
      </c>
      <c r="H107" s="116"/>
      <c r="I107" s="117"/>
      <c r="J107" s="116">
        <v>1</v>
      </c>
      <c r="K107" s="117">
        <f t="shared" si="26"/>
        <v>215612.1</v>
      </c>
      <c r="L107" s="116">
        <v>1</v>
      </c>
      <c r="M107" s="117">
        <f t="shared" si="32"/>
        <v>215612.1</v>
      </c>
      <c r="N107" s="116"/>
      <c r="O107" s="117">
        <f t="shared" si="19"/>
        <v>0</v>
      </c>
      <c r="P107" s="116"/>
      <c r="Q107" s="117">
        <f t="shared" si="20"/>
        <v>0</v>
      </c>
      <c r="R107" s="116"/>
      <c r="S107" s="117">
        <f t="shared" si="21"/>
        <v>0</v>
      </c>
      <c r="T107" s="116"/>
      <c r="U107" s="117">
        <f t="shared" si="27"/>
        <v>0</v>
      </c>
      <c r="V107" s="116"/>
      <c r="W107" s="117">
        <f t="shared" si="22"/>
        <v>0</v>
      </c>
      <c r="X107" s="116"/>
      <c r="Y107" s="117">
        <f t="shared" si="28"/>
        <v>0</v>
      </c>
      <c r="Z107" s="116"/>
      <c r="AA107" s="117">
        <f t="shared" si="23"/>
        <v>0</v>
      </c>
      <c r="AB107" s="116"/>
      <c r="AC107" s="117">
        <f t="shared" si="29"/>
        <v>0</v>
      </c>
      <c r="AD107" s="116"/>
      <c r="AE107" s="117">
        <f t="shared" si="24"/>
        <v>0</v>
      </c>
      <c r="AF107" s="116"/>
      <c r="AG107" s="118">
        <f t="shared" si="33"/>
        <v>0</v>
      </c>
      <c r="AH107" s="217"/>
      <c r="AI107" s="220"/>
      <c r="AJ107" s="220"/>
      <c r="AK107" s="150">
        <f t="shared" si="59"/>
        <v>1</v>
      </c>
      <c r="AL107" s="119">
        <f t="shared" si="59"/>
        <v>215612.1</v>
      </c>
      <c r="AM107" s="120">
        <f t="shared" si="47"/>
        <v>1</v>
      </c>
      <c r="AN107" s="120">
        <v>1</v>
      </c>
      <c r="AO107" s="164">
        <f t="shared" si="48"/>
        <v>0</v>
      </c>
      <c r="AP107" s="150">
        <v>1</v>
      </c>
      <c r="AQ107" s="119">
        <f t="shared" si="49"/>
        <v>215612.1</v>
      </c>
      <c r="AR107" s="150">
        <f t="shared" si="45"/>
        <v>0</v>
      </c>
      <c r="AS107" s="165">
        <f t="shared" si="50"/>
        <v>0</v>
      </c>
      <c r="AT107" s="181"/>
      <c r="AU107" s="167">
        <f t="shared" si="51"/>
        <v>0</v>
      </c>
      <c r="AV107" s="121"/>
      <c r="AW107" s="121"/>
      <c r="AX107" s="121"/>
      <c r="AY107" s="121"/>
      <c r="AZ107" s="121"/>
      <c r="BA107" s="121"/>
      <c r="BB107" s="121"/>
      <c r="BC107" s="121"/>
      <c r="BD107" s="121"/>
      <c r="BE107" s="121"/>
      <c r="BF107" s="121"/>
      <c r="BG107" s="121"/>
    </row>
    <row r="108" spans="1:59" s="122" customFormat="1" ht="15" customHeight="1">
      <c r="A108" s="113">
        <v>4</v>
      </c>
      <c r="B108" s="114" t="s">
        <v>95</v>
      </c>
      <c r="C108" s="115"/>
      <c r="D108" s="116">
        <v>0.2</v>
      </c>
      <c r="E108" s="117">
        <f t="shared" si="60"/>
        <v>287482.8</v>
      </c>
      <c r="F108" s="116"/>
      <c r="G108" s="117">
        <f t="shared" si="16"/>
        <v>0</v>
      </c>
      <c r="H108" s="116"/>
      <c r="I108" s="117"/>
      <c r="J108" s="116"/>
      <c r="K108" s="117">
        <f t="shared" si="26"/>
        <v>0</v>
      </c>
      <c r="L108" s="116"/>
      <c r="M108" s="117">
        <f t="shared" si="32"/>
        <v>0</v>
      </c>
      <c r="N108" s="116">
        <v>1</v>
      </c>
      <c r="O108" s="117">
        <f t="shared" si="19"/>
        <v>287482.8</v>
      </c>
      <c r="P108" s="116">
        <v>1</v>
      </c>
      <c r="Q108" s="117">
        <f t="shared" si="20"/>
        <v>287482.8</v>
      </c>
      <c r="R108" s="116"/>
      <c r="S108" s="117">
        <f t="shared" si="21"/>
        <v>0</v>
      </c>
      <c r="T108" s="116"/>
      <c r="U108" s="117">
        <f t="shared" si="27"/>
        <v>0</v>
      </c>
      <c r="V108" s="116"/>
      <c r="W108" s="117">
        <f t="shared" si="22"/>
        <v>0</v>
      </c>
      <c r="X108" s="116"/>
      <c r="Y108" s="117">
        <f t="shared" si="28"/>
        <v>0</v>
      </c>
      <c r="Z108" s="116"/>
      <c r="AA108" s="117">
        <f t="shared" si="23"/>
        <v>0</v>
      </c>
      <c r="AB108" s="116"/>
      <c r="AC108" s="117">
        <f t="shared" si="29"/>
        <v>0</v>
      </c>
      <c r="AD108" s="116"/>
      <c r="AE108" s="117">
        <f t="shared" si="24"/>
        <v>0</v>
      </c>
      <c r="AF108" s="116"/>
      <c r="AG108" s="118">
        <f t="shared" si="33"/>
        <v>0</v>
      </c>
      <c r="AH108" s="217"/>
      <c r="AI108" s="220"/>
      <c r="AJ108" s="220"/>
      <c r="AK108" s="150">
        <f t="shared" si="59"/>
        <v>1</v>
      </c>
      <c r="AL108" s="119">
        <f t="shared" si="59"/>
        <v>287482.8</v>
      </c>
      <c r="AM108" s="120">
        <f t="shared" si="47"/>
        <v>1</v>
      </c>
      <c r="AN108" s="120">
        <v>1</v>
      </c>
      <c r="AO108" s="164">
        <f t="shared" si="48"/>
        <v>0</v>
      </c>
      <c r="AP108" s="150">
        <v>1</v>
      </c>
      <c r="AQ108" s="119">
        <f t="shared" si="49"/>
        <v>287482.8</v>
      </c>
      <c r="AR108" s="150">
        <f t="shared" si="45"/>
        <v>0</v>
      </c>
      <c r="AS108" s="165">
        <f t="shared" si="50"/>
        <v>0</v>
      </c>
      <c r="AT108" s="181"/>
      <c r="AU108" s="167">
        <f t="shared" si="51"/>
        <v>0</v>
      </c>
      <c r="AV108" s="121"/>
      <c r="AW108" s="121"/>
      <c r="AX108" s="121"/>
      <c r="AY108" s="121"/>
      <c r="AZ108" s="121"/>
      <c r="BA108" s="121"/>
      <c r="BB108" s="121"/>
      <c r="BC108" s="121"/>
      <c r="BD108" s="121"/>
      <c r="BE108" s="121"/>
      <c r="BF108" s="121"/>
      <c r="BG108" s="121"/>
    </row>
    <row r="109" spans="1:59" s="122" customFormat="1" ht="15" customHeight="1">
      <c r="A109" s="113">
        <v>5</v>
      </c>
      <c r="B109" s="114" t="s">
        <v>54</v>
      </c>
      <c r="C109" s="115"/>
      <c r="D109" s="116">
        <v>0.15</v>
      </c>
      <c r="E109" s="117">
        <f t="shared" si="60"/>
        <v>215612.1</v>
      </c>
      <c r="F109" s="116"/>
      <c r="G109" s="117">
        <f t="shared" si="16"/>
        <v>0</v>
      </c>
      <c r="H109" s="116"/>
      <c r="I109" s="117"/>
      <c r="J109" s="116"/>
      <c r="K109" s="117">
        <f t="shared" si="26"/>
        <v>0</v>
      </c>
      <c r="L109" s="116"/>
      <c r="M109" s="117">
        <f t="shared" si="32"/>
        <v>0</v>
      </c>
      <c r="N109" s="116"/>
      <c r="O109" s="117">
        <f t="shared" si="19"/>
        <v>0</v>
      </c>
      <c r="P109" s="116"/>
      <c r="Q109" s="117">
        <f t="shared" si="20"/>
        <v>0</v>
      </c>
      <c r="R109" s="116">
        <v>1</v>
      </c>
      <c r="S109" s="117">
        <f t="shared" si="21"/>
        <v>215612.1</v>
      </c>
      <c r="T109" s="123">
        <v>1</v>
      </c>
      <c r="U109" s="117">
        <f t="shared" si="27"/>
        <v>215612.1</v>
      </c>
      <c r="V109" s="116"/>
      <c r="W109" s="117">
        <f t="shared" si="22"/>
        <v>0</v>
      </c>
      <c r="X109" s="116"/>
      <c r="Y109" s="117">
        <f t="shared" si="28"/>
        <v>0</v>
      </c>
      <c r="Z109" s="116"/>
      <c r="AA109" s="117">
        <f t="shared" si="23"/>
        <v>0</v>
      </c>
      <c r="AB109" s="116"/>
      <c r="AC109" s="117">
        <f t="shared" si="29"/>
        <v>0</v>
      </c>
      <c r="AD109" s="116"/>
      <c r="AE109" s="117">
        <f t="shared" si="24"/>
        <v>0</v>
      </c>
      <c r="AF109" s="116"/>
      <c r="AG109" s="118">
        <f t="shared" si="33"/>
        <v>0</v>
      </c>
      <c r="AH109" s="217"/>
      <c r="AI109" s="220"/>
      <c r="AJ109" s="220"/>
      <c r="AK109" s="150">
        <f t="shared" si="59"/>
        <v>1</v>
      </c>
      <c r="AL109" s="119">
        <f t="shared" si="59"/>
        <v>215612.1</v>
      </c>
      <c r="AM109" s="120">
        <f t="shared" si="47"/>
        <v>1</v>
      </c>
      <c r="AN109" s="120">
        <v>0.4</v>
      </c>
      <c r="AO109" s="164">
        <f t="shared" si="48"/>
        <v>0.6</v>
      </c>
      <c r="AP109" s="150">
        <v>0.2545</v>
      </c>
      <c r="AQ109" s="119">
        <f t="shared" si="49"/>
        <v>54873.279450000002</v>
      </c>
      <c r="AR109" s="150">
        <f t="shared" si="45"/>
        <v>0.74550000000000005</v>
      </c>
      <c r="AS109" s="165">
        <f t="shared" si="50"/>
        <v>160738.82055</v>
      </c>
      <c r="AT109" s="181">
        <f t="shared" ref="AT109:AT110" si="61">100%-AK109</f>
        <v>0</v>
      </c>
      <c r="AU109" s="167">
        <f t="shared" si="51"/>
        <v>0</v>
      </c>
      <c r="AV109" s="121"/>
      <c r="AW109" s="121"/>
      <c r="AX109" s="121"/>
      <c r="AY109" s="121"/>
      <c r="AZ109" s="121"/>
      <c r="BA109" s="121"/>
      <c r="BB109" s="121"/>
      <c r="BC109" s="121"/>
      <c r="BD109" s="121"/>
      <c r="BE109" s="121"/>
      <c r="BF109" s="121"/>
      <c r="BG109" s="121"/>
    </row>
    <row r="110" spans="1:59" s="122" customFormat="1" ht="15" customHeight="1">
      <c r="A110" s="113">
        <v>6</v>
      </c>
      <c r="B110" s="114" t="s">
        <v>91</v>
      </c>
      <c r="C110" s="115"/>
      <c r="D110" s="116">
        <v>0.2</v>
      </c>
      <c r="E110" s="117">
        <f t="shared" si="60"/>
        <v>287482.8</v>
      </c>
      <c r="F110" s="116"/>
      <c r="G110" s="117">
        <f t="shared" si="16"/>
        <v>0</v>
      </c>
      <c r="H110" s="116"/>
      <c r="I110" s="117"/>
      <c r="J110" s="116"/>
      <c r="K110" s="117">
        <f t="shared" si="26"/>
        <v>0</v>
      </c>
      <c r="L110" s="116"/>
      <c r="M110" s="117">
        <f t="shared" si="32"/>
        <v>0</v>
      </c>
      <c r="N110" s="116"/>
      <c r="O110" s="117">
        <f t="shared" si="19"/>
        <v>0</v>
      </c>
      <c r="P110" s="116"/>
      <c r="Q110" s="117">
        <f t="shared" si="20"/>
        <v>0</v>
      </c>
      <c r="R110" s="116"/>
      <c r="S110" s="117">
        <f t="shared" si="21"/>
        <v>0</v>
      </c>
      <c r="T110" s="116"/>
      <c r="U110" s="117">
        <f t="shared" si="27"/>
        <v>0</v>
      </c>
      <c r="V110" s="116">
        <v>1</v>
      </c>
      <c r="W110" s="117">
        <f t="shared" si="22"/>
        <v>287482.8</v>
      </c>
      <c r="X110" s="116"/>
      <c r="Y110" s="117">
        <f t="shared" si="28"/>
        <v>0</v>
      </c>
      <c r="Z110" s="116"/>
      <c r="AA110" s="117">
        <f t="shared" si="23"/>
        <v>0</v>
      </c>
      <c r="AB110" s="116"/>
      <c r="AC110" s="117">
        <f t="shared" si="29"/>
        <v>0</v>
      </c>
      <c r="AD110" s="116"/>
      <c r="AE110" s="117">
        <f t="shared" si="24"/>
        <v>0</v>
      </c>
      <c r="AF110" s="116"/>
      <c r="AG110" s="118">
        <f t="shared" si="33"/>
        <v>0</v>
      </c>
      <c r="AH110" s="217"/>
      <c r="AI110" s="220"/>
      <c r="AJ110" s="220"/>
      <c r="AK110" s="150">
        <f t="shared" si="59"/>
        <v>0</v>
      </c>
      <c r="AL110" s="119">
        <f t="shared" si="59"/>
        <v>0</v>
      </c>
      <c r="AM110" s="120">
        <f t="shared" si="47"/>
        <v>0</v>
      </c>
      <c r="AN110" s="120">
        <v>0</v>
      </c>
      <c r="AO110" s="164">
        <f t="shared" si="48"/>
        <v>0</v>
      </c>
      <c r="AP110" s="150">
        <v>0</v>
      </c>
      <c r="AQ110" s="119">
        <f t="shared" si="49"/>
        <v>0</v>
      </c>
      <c r="AR110" s="150">
        <f t="shared" si="45"/>
        <v>0</v>
      </c>
      <c r="AS110" s="165">
        <f t="shared" si="50"/>
        <v>0</v>
      </c>
      <c r="AT110" s="181">
        <f t="shared" si="61"/>
        <v>1</v>
      </c>
      <c r="AU110" s="167">
        <f t="shared" si="51"/>
        <v>287482.8</v>
      </c>
      <c r="AV110" s="121"/>
      <c r="AW110" s="121"/>
      <c r="AX110" s="121"/>
      <c r="AY110" s="121"/>
      <c r="AZ110" s="121"/>
      <c r="BA110" s="121"/>
      <c r="BB110" s="121"/>
      <c r="BC110" s="121"/>
      <c r="BD110" s="121"/>
      <c r="BE110" s="121"/>
      <c r="BF110" s="121"/>
      <c r="BG110" s="121"/>
    </row>
    <row r="111" spans="1:59" s="122" customFormat="1" ht="15" customHeight="1">
      <c r="A111" s="113">
        <v>7</v>
      </c>
      <c r="B111" s="114" t="s">
        <v>92</v>
      </c>
      <c r="C111" s="115"/>
      <c r="D111" s="116">
        <v>0.05</v>
      </c>
      <c r="E111" s="117">
        <f t="shared" si="60"/>
        <v>71870.7</v>
      </c>
      <c r="F111" s="116"/>
      <c r="G111" s="117">
        <f t="shared" si="16"/>
        <v>0</v>
      </c>
      <c r="H111" s="116"/>
      <c r="I111" s="117"/>
      <c r="J111" s="116"/>
      <c r="K111" s="117">
        <f t="shared" si="26"/>
        <v>0</v>
      </c>
      <c r="L111" s="116"/>
      <c r="M111" s="117">
        <f t="shared" si="32"/>
        <v>0</v>
      </c>
      <c r="N111" s="116"/>
      <c r="O111" s="117">
        <f t="shared" si="19"/>
        <v>0</v>
      </c>
      <c r="P111" s="116"/>
      <c r="Q111" s="117">
        <f t="shared" si="20"/>
        <v>0</v>
      </c>
      <c r="R111" s="116"/>
      <c r="S111" s="117">
        <f t="shared" si="21"/>
        <v>0</v>
      </c>
      <c r="T111" s="116"/>
      <c r="U111" s="117">
        <f t="shared" si="27"/>
        <v>0</v>
      </c>
      <c r="V111" s="116">
        <v>0.75</v>
      </c>
      <c r="W111" s="117">
        <f t="shared" si="22"/>
        <v>53903.024999999994</v>
      </c>
      <c r="X111" s="116">
        <v>0.6</v>
      </c>
      <c r="Y111" s="117">
        <f t="shared" si="28"/>
        <v>43122.42</v>
      </c>
      <c r="Z111" s="116">
        <v>0.25</v>
      </c>
      <c r="AA111" s="117">
        <f t="shared" si="23"/>
        <v>17967.674999999999</v>
      </c>
      <c r="AB111" s="116"/>
      <c r="AC111" s="117">
        <f t="shared" si="29"/>
        <v>0</v>
      </c>
      <c r="AD111" s="116"/>
      <c r="AE111" s="117">
        <f t="shared" si="24"/>
        <v>0</v>
      </c>
      <c r="AF111" s="116"/>
      <c r="AG111" s="118">
        <f t="shared" si="33"/>
        <v>0</v>
      </c>
      <c r="AH111" s="217"/>
      <c r="AI111" s="220"/>
      <c r="AJ111" s="220"/>
      <c r="AK111" s="150">
        <f t="shared" si="59"/>
        <v>0.6</v>
      </c>
      <c r="AL111" s="119">
        <f t="shared" si="59"/>
        <v>43122.42</v>
      </c>
      <c r="AM111" s="120">
        <f t="shared" si="47"/>
        <v>0.6</v>
      </c>
      <c r="AN111" s="120">
        <v>0.6</v>
      </c>
      <c r="AO111" s="164">
        <f t="shared" si="48"/>
        <v>0</v>
      </c>
      <c r="AP111" s="150">
        <v>0.6</v>
      </c>
      <c r="AQ111" s="119">
        <f t="shared" si="49"/>
        <v>43122.42</v>
      </c>
      <c r="AR111" s="150">
        <f t="shared" si="45"/>
        <v>0</v>
      </c>
      <c r="AS111" s="165">
        <f t="shared" si="50"/>
        <v>0</v>
      </c>
      <c r="AT111" s="166"/>
      <c r="AU111" s="167">
        <f t="shared" si="51"/>
        <v>0</v>
      </c>
      <c r="AV111" s="124"/>
      <c r="AW111" s="124"/>
      <c r="AX111" s="124"/>
      <c r="AY111" s="124"/>
      <c r="AZ111" s="124"/>
      <c r="BA111" s="124"/>
      <c r="BB111" s="124"/>
      <c r="BC111" s="124"/>
      <c r="BD111" s="124"/>
      <c r="BE111" s="124"/>
      <c r="BF111" s="124"/>
      <c r="BG111" s="124"/>
    </row>
    <row r="112" spans="1:59" s="122" customFormat="1" ht="15" customHeight="1">
      <c r="A112" s="113">
        <v>8</v>
      </c>
      <c r="B112" s="114" t="s">
        <v>96</v>
      </c>
      <c r="C112" s="115"/>
      <c r="D112" s="116">
        <v>0.05</v>
      </c>
      <c r="E112" s="117">
        <f t="shared" si="60"/>
        <v>71870.7</v>
      </c>
      <c r="F112" s="116"/>
      <c r="G112" s="117">
        <f t="shared" si="16"/>
        <v>0</v>
      </c>
      <c r="H112" s="116"/>
      <c r="I112" s="117"/>
      <c r="J112" s="116"/>
      <c r="K112" s="117">
        <f t="shared" si="26"/>
        <v>0</v>
      </c>
      <c r="L112" s="116"/>
      <c r="M112" s="117">
        <f t="shared" si="32"/>
        <v>0</v>
      </c>
      <c r="N112" s="116"/>
      <c r="O112" s="117">
        <f t="shared" si="19"/>
        <v>0</v>
      </c>
      <c r="P112" s="116"/>
      <c r="Q112" s="117">
        <f t="shared" si="20"/>
        <v>0</v>
      </c>
      <c r="R112" s="116"/>
      <c r="S112" s="117">
        <f t="shared" si="21"/>
        <v>0</v>
      </c>
      <c r="T112" s="116"/>
      <c r="U112" s="117">
        <f t="shared" si="27"/>
        <v>0</v>
      </c>
      <c r="V112" s="116"/>
      <c r="W112" s="117">
        <f t="shared" si="22"/>
        <v>0</v>
      </c>
      <c r="X112" s="116"/>
      <c r="Y112" s="117">
        <f t="shared" si="28"/>
        <v>0</v>
      </c>
      <c r="Z112" s="116">
        <v>1</v>
      </c>
      <c r="AA112" s="117">
        <f t="shared" si="23"/>
        <v>71870.7</v>
      </c>
      <c r="AB112" s="116"/>
      <c r="AC112" s="117">
        <f t="shared" si="29"/>
        <v>0</v>
      </c>
      <c r="AD112" s="116"/>
      <c r="AE112" s="117">
        <f t="shared" si="24"/>
        <v>0</v>
      </c>
      <c r="AF112" s="116"/>
      <c r="AG112" s="118">
        <f t="shared" si="33"/>
        <v>0</v>
      </c>
      <c r="AH112" s="217"/>
      <c r="AI112" s="220"/>
      <c r="AJ112" s="220"/>
      <c r="AK112" s="150">
        <f t="shared" si="59"/>
        <v>0</v>
      </c>
      <c r="AL112" s="119">
        <f t="shared" si="59"/>
        <v>0</v>
      </c>
      <c r="AM112" s="120">
        <f t="shared" si="47"/>
        <v>0</v>
      </c>
      <c r="AN112" s="120">
        <v>0</v>
      </c>
      <c r="AO112" s="164">
        <f t="shared" si="48"/>
        <v>0</v>
      </c>
      <c r="AP112" s="150">
        <v>0</v>
      </c>
      <c r="AQ112" s="119">
        <f t="shared" si="49"/>
        <v>0</v>
      </c>
      <c r="AR112" s="150">
        <f t="shared" si="45"/>
        <v>0</v>
      </c>
      <c r="AS112" s="165">
        <f t="shared" si="50"/>
        <v>0</v>
      </c>
      <c r="AT112" s="181"/>
      <c r="AU112" s="167">
        <f t="shared" si="51"/>
        <v>0</v>
      </c>
      <c r="AV112" s="121"/>
      <c r="AW112" s="121"/>
      <c r="AX112" s="121"/>
      <c r="AY112" s="121"/>
      <c r="AZ112" s="121"/>
      <c r="BA112" s="121"/>
      <c r="BB112" s="121"/>
      <c r="BC112" s="121"/>
      <c r="BD112" s="121"/>
      <c r="BE112" s="121"/>
      <c r="BF112" s="121"/>
      <c r="BG112" s="121"/>
    </row>
    <row r="113" spans="1:59" s="122" customFormat="1" ht="15" customHeight="1">
      <c r="A113" s="113">
        <v>9</v>
      </c>
      <c r="B113" s="114" t="s">
        <v>44</v>
      </c>
      <c r="C113" s="115"/>
      <c r="D113" s="116">
        <v>0.05</v>
      </c>
      <c r="E113" s="117">
        <f t="shared" si="60"/>
        <v>71870.7</v>
      </c>
      <c r="F113" s="116"/>
      <c r="G113" s="117">
        <f t="shared" si="16"/>
        <v>0</v>
      </c>
      <c r="H113" s="116"/>
      <c r="I113" s="117"/>
      <c r="J113" s="116"/>
      <c r="K113" s="117">
        <f t="shared" si="26"/>
        <v>0</v>
      </c>
      <c r="L113" s="116"/>
      <c r="M113" s="117">
        <f t="shared" si="32"/>
        <v>0</v>
      </c>
      <c r="N113" s="116"/>
      <c r="O113" s="117">
        <f t="shared" si="19"/>
        <v>0</v>
      </c>
      <c r="P113" s="116"/>
      <c r="Q113" s="117">
        <f t="shared" si="20"/>
        <v>0</v>
      </c>
      <c r="R113" s="116"/>
      <c r="S113" s="117">
        <f t="shared" si="21"/>
        <v>0</v>
      </c>
      <c r="T113" s="116"/>
      <c r="U113" s="117">
        <f t="shared" si="27"/>
        <v>0</v>
      </c>
      <c r="V113" s="116"/>
      <c r="W113" s="117">
        <f t="shared" si="22"/>
        <v>0</v>
      </c>
      <c r="X113" s="116"/>
      <c r="Y113" s="117">
        <f t="shared" si="28"/>
        <v>0</v>
      </c>
      <c r="Z113" s="116"/>
      <c r="AA113" s="117">
        <f t="shared" si="23"/>
        <v>0</v>
      </c>
      <c r="AB113" s="116"/>
      <c r="AC113" s="117">
        <f t="shared" si="29"/>
        <v>0</v>
      </c>
      <c r="AD113" s="116">
        <v>1</v>
      </c>
      <c r="AE113" s="117">
        <f t="shared" si="24"/>
        <v>71870.7</v>
      </c>
      <c r="AF113" s="116"/>
      <c r="AG113" s="118">
        <f t="shared" si="33"/>
        <v>0</v>
      </c>
      <c r="AH113" s="218"/>
      <c r="AI113" s="221"/>
      <c r="AJ113" s="221"/>
      <c r="AK113" s="150">
        <f t="shared" si="59"/>
        <v>0</v>
      </c>
      <c r="AL113" s="119">
        <f t="shared" si="59"/>
        <v>0</v>
      </c>
      <c r="AM113" s="120">
        <f t="shared" si="47"/>
        <v>0</v>
      </c>
      <c r="AN113" s="120">
        <v>0</v>
      </c>
      <c r="AO113" s="164">
        <f t="shared" si="48"/>
        <v>0</v>
      </c>
      <c r="AP113" s="150">
        <v>0</v>
      </c>
      <c r="AQ113" s="119">
        <f t="shared" si="49"/>
        <v>0</v>
      </c>
      <c r="AR113" s="150">
        <f t="shared" si="45"/>
        <v>0</v>
      </c>
      <c r="AS113" s="165">
        <f t="shared" si="50"/>
        <v>0</v>
      </c>
      <c r="AT113" s="181"/>
      <c r="AU113" s="167">
        <f t="shared" si="51"/>
        <v>0</v>
      </c>
      <c r="AV113" s="121"/>
      <c r="AW113" s="121"/>
      <c r="AX113" s="121"/>
      <c r="AY113" s="121"/>
      <c r="AZ113" s="121"/>
      <c r="BA113" s="121"/>
      <c r="BB113" s="121"/>
      <c r="BC113" s="121"/>
      <c r="BD113" s="121"/>
      <c r="BE113" s="121"/>
      <c r="BF113" s="121"/>
      <c r="BG113" s="121"/>
    </row>
    <row r="114" spans="1:59" ht="15" customHeight="1">
      <c r="A114" s="74" t="s">
        <v>97</v>
      </c>
      <c r="B114" s="75" t="s">
        <v>98</v>
      </c>
      <c r="C114" s="76">
        <v>3114397</v>
      </c>
      <c r="D114" s="77"/>
      <c r="E114" s="78"/>
      <c r="F114" s="79"/>
      <c r="G114" s="80">
        <f t="shared" si="16"/>
        <v>0</v>
      </c>
      <c r="H114" s="79"/>
      <c r="I114" s="80"/>
      <c r="J114" s="80"/>
      <c r="K114" s="80">
        <f t="shared" si="26"/>
        <v>0</v>
      </c>
      <c r="L114" s="79"/>
      <c r="M114" s="80">
        <f t="shared" si="32"/>
        <v>0</v>
      </c>
      <c r="N114" s="80"/>
      <c r="O114" s="80">
        <f t="shared" si="19"/>
        <v>0</v>
      </c>
      <c r="P114" s="79"/>
      <c r="Q114" s="80">
        <f t="shared" si="20"/>
        <v>0</v>
      </c>
      <c r="R114" s="80"/>
      <c r="S114" s="80">
        <f t="shared" si="21"/>
        <v>0</v>
      </c>
      <c r="T114" s="79"/>
      <c r="U114" s="80">
        <f t="shared" si="27"/>
        <v>0</v>
      </c>
      <c r="V114" s="80"/>
      <c r="W114" s="80">
        <f t="shared" si="22"/>
        <v>0</v>
      </c>
      <c r="X114" s="79"/>
      <c r="Y114" s="80">
        <f t="shared" si="28"/>
        <v>0</v>
      </c>
      <c r="Z114" s="80"/>
      <c r="AA114" s="80">
        <f t="shared" si="23"/>
        <v>0</v>
      </c>
      <c r="AB114" s="79"/>
      <c r="AC114" s="80">
        <f t="shared" si="29"/>
        <v>0</v>
      </c>
      <c r="AD114" s="80"/>
      <c r="AE114" s="80">
        <f t="shared" si="24"/>
        <v>0</v>
      </c>
      <c r="AF114" s="79"/>
      <c r="AG114" s="81">
        <f t="shared" si="33"/>
        <v>0</v>
      </c>
      <c r="AH114" s="216">
        <f>SUM(E115:E123)</f>
        <v>3114397.0000000005</v>
      </c>
      <c r="AI114" s="219">
        <f>SUM(AC115:AC123)+SUM(U115:U123)+SUM(M115:M123)+SUM(Q115:Q123)+SUM(Y115:Y123)+SUM(AG115:AG123)</f>
        <v>2024358.0499999998</v>
      </c>
      <c r="AJ114" s="222">
        <f>AI114/AH114</f>
        <v>0.6499999999999998</v>
      </c>
      <c r="AK114" s="17">
        <f t="shared" si="59"/>
        <v>0</v>
      </c>
      <c r="AL114" s="23">
        <f t="shared" si="59"/>
        <v>0</v>
      </c>
      <c r="AM114" s="4">
        <f t="shared" si="47"/>
        <v>0</v>
      </c>
      <c r="AN114" s="4">
        <v>0</v>
      </c>
      <c r="AO114" s="136">
        <f t="shared" si="48"/>
        <v>0</v>
      </c>
      <c r="AP114" s="17">
        <v>0</v>
      </c>
      <c r="AQ114" s="23">
        <f t="shared" si="49"/>
        <v>0</v>
      </c>
      <c r="AR114" s="17">
        <f t="shared" si="45"/>
        <v>0</v>
      </c>
      <c r="AS114" s="141">
        <f t="shared" si="50"/>
        <v>0</v>
      </c>
      <c r="AT114" s="158"/>
      <c r="AU114" s="146">
        <f t="shared" si="51"/>
        <v>0</v>
      </c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</row>
    <row r="115" spans="1:59" s="122" customFormat="1" ht="15" customHeight="1">
      <c r="A115" s="113">
        <v>1</v>
      </c>
      <c r="B115" s="114" t="s">
        <v>34</v>
      </c>
      <c r="C115" s="115"/>
      <c r="D115" s="116">
        <v>0.02</v>
      </c>
      <c r="E115" s="117">
        <f t="shared" ref="E115:E123" si="62">+D115*$C$114</f>
        <v>62287.94</v>
      </c>
      <c r="F115" s="116"/>
      <c r="G115" s="117">
        <f t="shared" si="16"/>
        <v>0</v>
      </c>
      <c r="H115" s="116"/>
      <c r="I115" s="117">
        <f>+H115*$E115</f>
        <v>0</v>
      </c>
      <c r="J115" s="116">
        <v>1</v>
      </c>
      <c r="K115" s="117">
        <f t="shared" si="26"/>
        <v>62287.94</v>
      </c>
      <c r="L115" s="116">
        <v>1</v>
      </c>
      <c r="M115" s="117">
        <f t="shared" si="32"/>
        <v>62287.94</v>
      </c>
      <c r="N115" s="116"/>
      <c r="O115" s="117">
        <f t="shared" si="19"/>
        <v>0</v>
      </c>
      <c r="P115" s="116"/>
      <c r="Q115" s="117">
        <f t="shared" si="20"/>
        <v>0</v>
      </c>
      <c r="R115" s="116"/>
      <c r="S115" s="117">
        <f t="shared" si="21"/>
        <v>0</v>
      </c>
      <c r="T115" s="116"/>
      <c r="U115" s="117">
        <f t="shared" si="27"/>
        <v>0</v>
      </c>
      <c r="V115" s="116"/>
      <c r="W115" s="117">
        <f t="shared" si="22"/>
        <v>0</v>
      </c>
      <c r="X115" s="116"/>
      <c r="Y115" s="117">
        <f t="shared" si="28"/>
        <v>0</v>
      </c>
      <c r="Z115" s="116"/>
      <c r="AA115" s="117">
        <f t="shared" si="23"/>
        <v>0</v>
      </c>
      <c r="AB115" s="116"/>
      <c r="AC115" s="117">
        <f t="shared" si="29"/>
        <v>0</v>
      </c>
      <c r="AD115" s="116"/>
      <c r="AE115" s="117">
        <f t="shared" si="24"/>
        <v>0</v>
      </c>
      <c r="AF115" s="116"/>
      <c r="AG115" s="118">
        <f t="shared" si="33"/>
        <v>0</v>
      </c>
      <c r="AH115" s="217"/>
      <c r="AI115" s="220"/>
      <c r="AJ115" s="220"/>
      <c r="AK115" s="150">
        <f t="shared" si="59"/>
        <v>1</v>
      </c>
      <c r="AL115" s="119">
        <f t="shared" si="59"/>
        <v>62287.94</v>
      </c>
      <c r="AM115" s="120">
        <f t="shared" si="47"/>
        <v>1</v>
      </c>
      <c r="AN115" s="120">
        <v>1</v>
      </c>
      <c r="AO115" s="164">
        <f t="shared" si="48"/>
        <v>0</v>
      </c>
      <c r="AP115" s="150">
        <v>1</v>
      </c>
      <c r="AQ115" s="119">
        <f t="shared" si="49"/>
        <v>62287.94</v>
      </c>
      <c r="AR115" s="150">
        <f t="shared" si="45"/>
        <v>0</v>
      </c>
      <c r="AS115" s="165">
        <f t="shared" si="50"/>
        <v>0</v>
      </c>
      <c r="AT115" s="181"/>
      <c r="AU115" s="167">
        <f t="shared" si="51"/>
        <v>0</v>
      </c>
      <c r="AV115" s="121"/>
      <c r="AW115" s="121"/>
      <c r="AX115" s="121"/>
      <c r="AY115" s="121"/>
      <c r="AZ115" s="121"/>
      <c r="BA115" s="121"/>
      <c r="BB115" s="121"/>
      <c r="BC115" s="121"/>
      <c r="BD115" s="121"/>
      <c r="BE115" s="121"/>
      <c r="BF115" s="121"/>
      <c r="BG115" s="121"/>
    </row>
    <row r="116" spans="1:59" s="122" customFormat="1" ht="15" customHeight="1">
      <c r="A116" s="113">
        <v>2</v>
      </c>
      <c r="B116" s="114" t="s">
        <v>47</v>
      </c>
      <c r="C116" s="115"/>
      <c r="D116" s="116">
        <v>0.13</v>
      </c>
      <c r="E116" s="117">
        <f t="shared" si="62"/>
        <v>404871.61</v>
      </c>
      <c r="F116" s="116"/>
      <c r="G116" s="117">
        <f t="shared" si="16"/>
        <v>0</v>
      </c>
      <c r="H116" s="116"/>
      <c r="I116" s="117"/>
      <c r="J116" s="116">
        <v>1</v>
      </c>
      <c r="K116" s="117">
        <f t="shared" si="26"/>
        <v>404871.61</v>
      </c>
      <c r="L116" s="116">
        <v>1</v>
      </c>
      <c r="M116" s="117">
        <f t="shared" si="32"/>
        <v>404871.61</v>
      </c>
      <c r="N116" s="116"/>
      <c r="O116" s="117">
        <f t="shared" si="19"/>
        <v>0</v>
      </c>
      <c r="P116" s="116"/>
      <c r="Q116" s="117">
        <f t="shared" si="20"/>
        <v>0</v>
      </c>
      <c r="R116" s="116"/>
      <c r="S116" s="117">
        <f t="shared" si="21"/>
        <v>0</v>
      </c>
      <c r="T116" s="116"/>
      <c r="U116" s="117">
        <f t="shared" si="27"/>
        <v>0</v>
      </c>
      <c r="V116" s="116"/>
      <c r="W116" s="117">
        <f t="shared" si="22"/>
        <v>0</v>
      </c>
      <c r="X116" s="116"/>
      <c r="Y116" s="117">
        <f t="shared" si="28"/>
        <v>0</v>
      </c>
      <c r="Z116" s="116"/>
      <c r="AA116" s="117">
        <f t="shared" si="23"/>
        <v>0</v>
      </c>
      <c r="AB116" s="116"/>
      <c r="AC116" s="117">
        <f t="shared" si="29"/>
        <v>0</v>
      </c>
      <c r="AD116" s="116"/>
      <c r="AE116" s="117">
        <f t="shared" si="24"/>
        <v>0</v>
      </c>
      <c r="AF116" s="116"/>
      <c r="AG116" s="118">
        <f t="shared" si="33"/>
        <v>0</v>
      </c>
      <c r="AH116" s="217"/>
      <c r="AI116" s="220"/>
      <c r="AJ116" s="220"/>
      <c r="AK116" s="150">
        <f t="shared" si="59"/>
        <v>1</v>
      </c>
      <c r="AL116" s="119">
        <f t="shared" si="59"/>
        <v>404871.61</v>
      </c>
      <c r="AM116" s="120">
        <f t="shared" si="47"/>
        <v>1</v>
      </c>
      <c r="AN116" s="120">
        <v>1</v>
      </c>
      <c r="AO116" s="164">
        <f t="shared" si="48"/>
        <v>0</v>
      </c>
      <c r="AP116" s="150">
        <v>1</v>
      </c>
      <c r="AQ116" s="119">
        <f t="shared" si="49"/>
        <v>404871.61</v>
      </c>
      <c r="AR116" s="150">
        <f t="shared" si="45"/>
        <v>0</v>
      </c>
      <c r="AS116" s="165">
        <f t="shared" si="50"/>
        <v>0</v>
      </c>
      <c r="AT116" s="181"/>
      <c r="AU116" s="167">
        <f t="shared" si="51"/>
        <v>0</v>
      </c>
      <c r="AV116" s="121"/>
      <c r="AW116" s="121"/>
      <c r="AX116" s="121"/>
      <c r="AY116" s="121"/>
      <c r="AZ116" s="121"/>
      <c r="BA116" s="121"/>
      <c r="BB116" s="121"/>
      <c r="BC116" s="121"/>
      <c r="BD116" s="121"/>
      <c r="BE116" s="121"/>
      <c r="BF116" s="121"/>
      <c r="BG116" s="121"/>
    </row>
    <row r="117" spans="1:59" s="122" customFormat="1" ht="15" customHeight="1">
      <c r="A117" s="113">
        <v>3</v>
      </c>
      <c r="B117" s="114" t="s">
        <v>48</v>
      </c>
      <c r="C117" s="115"/>
      <c r="D117" s="116">
        <v>0.15</v>
      </c>
      <c r="E117" s="117">
        <f t="shared" si="62"/>
        <v>467159.55</v>
      </c>
      <c r="F117" s="116"/>
      <c r="G117" s="117">
        <f t="shared" si="16"/>
        <v>0</v>
      </c>
      <c r="H117" s="116"/>
      <c r="I117" s="117"/>
      <c r="J117" s="116">
        <v>1</v>
      </c>
      <c r="K117" s="117">
        <f t="shared" si="26"/>
        <v>467159.55</v>
      </c>
      <c r="L117" s="116">
        <v>1</v>
      </c>
      <c r="M117" s="117">
        <f t="shared" si="32"/>
        <v>467159.55</v>
      </c>
      <c r="N117" s="116"/>
      <c r="O117" s="117">
        <f t="shared" si="19"/>
        <v>0</v>
      </c>
      <c r="P117" s="116"/>
      <c r="Q117" s="117">
        <f t="shared" si="20"/>
        <v>0</v>
      </c>
      <c r="R117" s="116"/>
      <c r="S117" s="117">
        <f t="shared" si="21"/>
        <v>0</v>
      </c>
      <c r="T117" s="116"/>
      <c r="U117" s="117">
        <f t="shared" si="27"/>
        <v>0</v>
      </c>
      <c r="V117" s="116"/>
      <c r="W117" s="117">
        <f t="shared" si="22"/>
        <v>0</v>
      </c>
      <c r="X117" s="116"/>
      <c r="Y117" s="117">
        <f t="shared" si="28"/>
        <v>0</v>
      </c>
      <c r="Z117" s="116"/>
      <c r="AA117" s="117">
        <f t="shared" si="23"/>
        <v>0</v>
      </c>
      <c r="AB117" s="116"/>
      <c r="AC117" s="117">
        <f t="shared" si="29"/>
        <v>0</v>
      </c>
      <c r="AD117" s="116"/>
      <c r="AE117" s="117">
        <f t="shared" si="24"/>
        <v>0</v>
      </c>
      <c r="AF117" s="116"/>
      <c r="AG117" s="118">
        <f t="shared" si="33"/>
        <v>0</v>
      </c>
      <c r="AH117" s="217"/>
      <c r="AI117" s="220"/>
      <c r="AJ117" s="220"/>
      <c r="AK117" s="150">
        <f t="shared" si="59"/>
        <v>1</v>
      </c>
      <c r="AL117" s="119">
        <f t="shared" si="59"/>
        <v>467159.55</v>
      </c>
      <c r="AM117" s="120">
        <f t="shared" si="47"/>
        <v>1</v>
      </c>
      <c r="AN117" s="120">
        <v>1</v>
      </c>
      <c r="AO117" s="164">
        <f t="shared" si="48"/>
        <v>0</v>
      </c>
      <c r="AP117" s="150">
        <v>1</v>
      </c>
      <c r="AQ117" s="119">
        <f t="shared" si="49"/>
        <v>467159.55</v>
      </c>
      <c r="AR117" s="150">
        <f t="shared" si="45"/>
        <v>0</v>
      </c>
      <c r="AS117" s="165">
        <f t="shared" si="50"/>
        <v>0</v>
      </c>
      <c r="AT117" s="181"/>
      <c r="AU117" s="167">
        <f t="shared" si="51"/>
        <v>0</v>
      </c>
      <c r="AV117" s="121"/>
      <c r="AW117" s="121"/>
      <c r="AX117" s="121"/>
      <c r="AY117" s="121"/>
      <c r="AZ117" s="121"/>
      <c r="BA117" s="121"/>
      <c r="BB117" s="121"/>
      <c r="BC117" s="121"/>
      <c r="BD117" s="121"/>
      <c r="BE117" s="121"/>
      <c r="BF117" s="121"/>
      <c r="BG117" s="121"/>
    </row>
    <row r="118" spans="1:59" s="122" customFormat="1" ht="15" customHeight="1">
      <c r="A118" s="113">
        <v>4</v>
      </c>
      <c r="B118" s="114" t="s">
        <v>95</v>
      </c>
      <c r="C118" s="115"/>
      <c r="D118" s="116">
        <v>0.2</v>
      </c>
      <c r="E118" s="117">
        <f t="shared" si="62"/>
        <v>622879.4</v>
      </c>
      <c r="F118" s="116"/>
      <c r="G118" s="117">
        <f t="shared" si="16"/>
        <v>0</v>
      </c>
      <c r="H118" s="116"/>
      <c r="I118" s="117"/>
      <c r="J118" s="116">
        <v>1</v>
      </c>
      <c r="K118" s="117">
        <f t="shared" si="26"/>
        <v>622879.4</v>
      </c>
      <c r="L118" s="116">
        <v>1</v>
      </c>
      <c r="M118" s="117">
        <f t="shared" si="32"/>
        <v>622879.4</v>
      </c>
      <c r="N118" s="116"/>
      <c r="O118" s="117">
        <f t="shared" si="19"/>
        <v>0</v>
      </c>
      <c r="P118" s="116"/>
      <c r="Q118" s="117">
        <f t="shared" si="20"/>
        <v>0</v>
      </c>
      <c r="R118" s="116"/>
      <c r="S118" s="117">
        <f t="shared" si="21"/>
        <v>0</v>
      </c>
      <c r="T118" s="116"/>
      <c r="U118" s="117">
        <f t="shared" si="27"/>
        <v>0</v>
      </c>
      <c r="V118" s="116"/>
      <c r="W118" s="117">
        <f t="shared" si="22"/>
        <v>0</v>
      </c>
      <c r="X118" s="116"/>
      <c r="Y118" s="117">
        <f t="shared" si="28"/>
        <v>0</v>
      </c>
      <c r="Z118" s="116"/>
      <c r="AA118" s="117">
        <f t="shared" si="23"/>
        <v>0</v>
      </c>
      <c r="AB118" s="116"/>
      <c r="AC118" s="117">
        <f t="shared" si="29"/>
        <v>0</v>
      </c>
      <c r="AD118" s="116"/>
      <c r="AE118" s="117">
        <f t="shared" si="24"/>
        <v>0</v>
      </c>
      <c r="AF118" s="116"/>
      <c r="AG118" s="118">
        <f t="shared" si="33"/>
        <v>0</v>
      </c>
      <c r="AH118" s="217"/>
      <c r="AI118" s="220"/>
      <c r="AJ118" s="220"/>
      <c r="AK118" s="150">
        <f t="shared" si="59"/>
        <v>1</v>
      </c>
      <c r="AL118" s="119">
        <f t="shared" si="59"/>
        <v>622879.4</v>
      </c>
      <c r="AM118" s="120">
        <f t="shared" si="47"/>
        <v>1</v>
      </c>
      <c r="AN118" s="120">
        <v>1</v>
      </c>
      <c r="AO118" s="164">
        <f t="shared" si="48"/>
        <v>0</v>
      </c>
      <c r="AP118" s="150">
        <v>1</v>
      </c>
      <c r="AQ118" s="119">
        <f t="shared" si="49"/>
        <v>622879.4</v>
      </c>
      <c r="AR118" s="150">
        <f t="shared" si="45"/>
        <v>0</v>
      </c>
      <c r="AS118" s="165">
        <f t="shared" si="50"/>
        <v>0</v>
      </c>
      <c r="AT118" s="181"/>
      <c r="AU118" s="167">
        <f t="shared" si="51"/>
        <v>0</v>
      </c>
      <c r="AV118" s="121"/>
      <c r="AW118" s="121"/>
      <c r="AX118" s="121"/>
      <c r="AY118" s="121"/>
      <c r="AZ118" s="121"/>
      <c r="BA118" s="121"/>
      <c r="BB118" s="121"/>
      <c r="BC118" s="121"/>
      <c r="BD118" s="121"/>
      <c r="BE118" s="121"/>
      <c r="BF118" s="121"/>
      <c r="BG118" s="121"/>
    </row>
    <row r="119" spans="1:59" s="122" customFormat="1" ht="15" customHeight="1">
      <c r="A119" s="113">
        <v>5</v>
      </c>
      <c r="B119" s="114" t="s">
        <v>54</v>
      </c>
      <c r="C119" s="115"/>
      <c r="D119" s="116">
        <v>0.15</v>
      </c>
      <c r="E119" s="117">
        <f t="shared" si="62"/>
        <v>467159.55</v>
      </c>
      <c r="F119" s="116"/>
      <c r="G119" s="117">
        <f t="shared" si="16"/>
        <v>0</v>
      </c>
      <c r="H119" s="116"/>
      <c r="I119" s="117"/>
      <c r="J119" s="116"/>
      <c r="K119" s="117">
        <f t="shared" si="26"/>
        <v>0</v>
      </c>
      <c r="L119" s="116"/>
      <c r="M119" s="117">
        <f t="shared" si="32"/>
        <v>0</v>
      </c>
      <c r="N119" s="116">
        <v>0.5</v>
      </c>
      <c r="O119" s="117">
        <f t="shared" si="19"/>
        <v>233579.77499999999</v>
      </c>
      <c r="P119" s="123">
        <v>0.5</v>
      </c>
      <c r="Q119" s="117">
        <f t="shared" si="20"/>
        <v>233579.77499999999</v>
      </c>
      <c r="R119" s="116">
        <v>0.5</v>
      </c>
      <c r="S119" s="117">
        <f t="shared" si="21"/>
        <v>233579.77499999999</v>
      </c>
      <c r="T119" s="116">
        <v>0.5</v>
      </c>
      <c r="U119" s="117">
        <f t="shared" si="27"/>
        <v>233579.77499999999</v>
      </c>
      <c r="V119" s="116"/>
      <c r="W119" s="117">
        <f t="shared" si="22"/>
        <v>0</v>
      </c>
      <c r="X119" s="116"/>
      <c r="Y119" s="117">
        <f t="shared" si="28"/>
        <v>0</v>
      </c>
      <c r="Z119" s="116"/>
      <c r="AA119" s="117">
        <f t="shared" si="23"/>
        <v>0</v>
      </c>
      <c r="AB119" s="116"/>
      <c r="AC119" s="117">
        <f t="shared" si="29"/>
        <v>0</v>
      </c>
      <c r="AD119" s="116"/>
      <c r="AE119" s="117">
        <f t="shared" si="24"/>
        <v>0</v>
      </c>
      <c r="AF119" s="116"/>
      <c r="AG119" s="118">
        <f t="shared" si="33"/>
        <v>0</v>
      </c>
      <c r="AH119" s="217"/>
      <c r="AI119" s="220"/>
      <c r="AJ119" s="220"/>
      <c r="AK119" s="150">
        <f t="shared" si="59"/>
        <v>1</v>
      </c>
      <c r="AL119" s="119">
        <f t="shared" si="59"/>
        <v>467159.55</v>
      </c>
      <c r="AM119" s="120">
        <f t="shared" si="47"/>
        <v>1</v>
      </c>
      <c r="AN119" s="120">
        <v>0.4</v>
      </c>
      <c r="AO119" s="164">
        <f t="shared" si="48"/>
        <v>0.6</v>
      </c>
      <c r="AP119" s="150">
        <v>0.25419999999999998</v>
      </c>
      <c r="AQ119" s="119">
        <f t="shared" si="49"/>
        <v>118751.95760999998</v>
      </c>
      <c r="AR119" s="150">
        <f t="shared" si="45"/>
        <v>0.74580000000000002</v>
      </c>
      <c r="AS119" s="165">
        <f t="shared" si="50"/>
        <v>348407.59239000001</v>
      </c>
      <c r="AT119" s="181">
        <f t="shared" ref="AT119:AT120" si="63">100%-AK119</f>
        <v>0</v>
      </c>
      <c r="AU119" s="167">
        <f t="shared" si="51"/>
        <v>0</v>
      </c>
      <c r="AV119" s="121"/>
      <c r="AW119" s="121"/>
      <c r="AX119" s="121"/>
      <c r="AY119" s="121"/>
      <c r="AZ119" s="121"/>
      <c r="BA119" s="121"/>
      <c r="BB119" s="121"/>
      <c r="BC119" s="121"/>
      <c r="BD119" s="121"/>
      <c r="BE119" s="121"/>
      <c r="BF119" s="121"/>
      <c r="BG119" s="121"/>
    </row>
    <row r="120" spans="1:59" s="122" customFormat="1" ht="15" customHeight="1">
      <c r="A120" s="113">
        <v>6</v>
      </c>
      <c r="B120" s="114" t="s">
        <v>91</v>
      </c>
      <c r="C120" s="115"/>
      <c r="D120" s="116">
        <v>0.2</v>
      </c>
      <c r="E120" s="117">
        <f t="shared" si="62"/>
        <v>622879.4</v>
      </c>
      <c r="F120" s="116"/>
      <c r="G120" s="117">
        <f t="shared" si="16"/>
        <v>0</v>
      </c>
      <c r="H120" s="116"/>
      <c r="I120" s="117"/>
      <c r="J120" s="116"/>
      <c r="K120" s="117">
        <f t="shared" si="26"/>
        <v>0</v>
      </c>
      <c r="L120" s="116"/>
      <c r="M120" s="117">
        <f t="shared" si="32"/>
        <v>0</v>
      </c>
      <c r="N120" s="116"/>
      <c r="O120" s="117">
        <f t="shared" si="19"/>
        <v>0</v>
      </c>
      <c r="P120" s="116"/>
      <c r="Q120" s="117">
        <f t="shared" si="20"/>
        <v>0</v>
      </c>
      <c r="R120" s="116"/>
      <c r="S120" s="117">
        <f t="shared" si="21"/>
        <v>0</v>
      </c>
      <c r="T120" s="116"/>
      <c r="U120" s="117">
        <f t="shared" si="27"/>
        <v>0</v>
      </c>
      <c r="V120" s="116">
        <v>1</v>
      </c>
      <c r="W120" s="117">
        <f t="shared" si="22"/>
        <v>622879.4</v>
      </c>
      <c r="X120" s="116"/>
      <c r="Y120" s="117">
        <f t="shared" si="28"/>
        <v>0</v>
      </c>
      <c r="Z120" s="116"/>
      <c r="AA120" s="117">
        <f t="shared" si="23"/>
        <v>0</v>
      </c>
      <c r="AB120" s="116"/>
      <c r="AC120" s="117">
        <f t="shared" si="29"/>
        <v>0</v>
      </c>
      <c r="AD120" s="116"/>
      <c r="AE120" s="117">
        <f t="shared" si="24"/>
        <v>0</v>
      </c>
      <c r="AF120" s="116"/>
      <c r="AG120" s="118">
        <f t="shared" si="33"/>
        <v>0</v>
      </c>
      <c r="AH120" s="217"/>
      <c r="AI120" s="220"/>
      <c r="AJ120" s="220"/>
      <c r="AK120" s="150">
        <f t="shared" ref="AK120:AL135" si="64">F120+H120+L120+P120+T120+X120+AB120+AF120</f>
        <v>0</v>
      </c>
      <c r="AL120" s="119">
        <f t="shared" si="64"/>
        <v>0</v>
      </c>
      <c r="AM120" s="120">
        <f t="shared" si="47"/>
        <v>0</v>
      </c>
      <c r="AN120" s="120">
        <v>0</v>
      </c>
      <c r="AO120" s="164">
        <f t="shared" si="48"/>
        <v>0</v>
      </c>
      <c r="AP120" s="150">
        <v>0</v>
      </c>
      <c r="AQ120" s="119">
        <f t="shared" si="49"/>
        <v>0</v>
      </c>
      <c r="AR120" s="150">
        <f t="shared" si="45"/>
        <v>0</v>
      </c>
      <c r="AS120" s="165">
        <f t="shared" si="50"/>
        <v>0</v>
      </c>
      <c r="AT120" s="181">
        <f t="shared" si="63"/>
        <v>1</v>
      </c>
      <c r="AU120" s="167">
        <f t="shared" si="51"/>
        <v>622879.4</v>
      </c>
      <c r="AV120" s="121"/>
      <c r="AW120" s="121"/>
      <c r="AX120" s="121"/>
      <c r="AY120" s="121"/>
      <c r="AZ120" s="121"/>
      <c r="BA120" s="121"/>
      <c r="BB120" s="121"/>
      <c r="BC120" s="121"/>
      <c r="BD120" s="121"/>
      <c r="BE120" s="121"/>
      <c r="BF120" s="121"/>
      <c r="BG120" s="121"/>
    </row>
    <row r="121" spans="1:59" s="122" customFormat="1" ht="15" customHeight="1">
      <c r="A121" s="113">
        <v>7</v>
      </c>
      <c r="B121" s="114" t="s">
        <v>92</v>
      </c>
      <c r="C121" s="115"/>
      <c r="D121" s="116">
        <v>0.05</v>
      </c>
      <c r="E121" s="117">
        <f t="shared" si="62"/>
        <v>155719.85</v>
      </c>
      <c r="F121" s="116"/>
      <c r="G121" s="117">
        <f t="shared" si="16"/>
        <v>0</v>
      </c>
      <c r="H121" s="116"/>
      <c r="I121" s="117"/>
      <c r="J121" s="116"/>
      <c r="K121" s="117">
        <f t="shared" si="26"/>
        <v>0</v>
      </c>
      <c r="L121" s="116"/>
      <c r="M121" s="117">
        <f t="shared" si="32"/>
        <v>0</v>
      </c>
      <c r="N121" s="116"/>
      <c r="O121" s="117">
        <f t="shared" si="19"/>
        <v>0</v>
      </c>
      <c r="P121" s="116"/>
      <c r="Q121" s="117">
        <f t="shared" si="20"/>
        <v>0</v>
      </c>
      <c r="R121" s="116"/>
      <c r="S121" s="117">
        <f t="shared" si="21"/>
        <v>0</v>
      </c>
      <c r="T121" s="116"/>
      <c r="U121" s="117">
        <f t="shared" si="27"/>
        <v>0</v>
      </c>
      <c r="V121" s="116">
        <v>0.75</v>
      </c>
      <c r="W121" s="117">
        <f t="shared" si="22"/>
        <v>116789.88750000001</v>
      </c>
      <c r="X121" s="116">
        <v>0</v>
      </c>
      <c r="Y121" s="117">
        <f>X121*E121</f>
        <v>0</v>
      </c>
      <c r="Z121" s="116">
        <v>0.25</v>
      </c>
      <c r="AA121" s="117">
        <f t="shared" si="23"/>
        <v>38929.962500000001</v>
      </c>
      <c r="AB121" s="116"/>
      <c r="AC121" s="117">
        <f t="shared" si="29"/>
        <v>0</v>
      </c>
      <c r="AD121" s="116"/>
      <c r="AE121" s="117">
        <f t="shared" si="24"/>
        <v>0</v>
      </c>
      <c r="AF121" s="116"/>
      <c r="AG121" s="118">
        <f t="shared" si="33"/>
        <v>0</v>
      </c>
      <c r="AH121" s="217"/>
      <c r="AI121" s="220"/>
      <c r="AJ121" s="220"/>
      <c r="AK121" s="150">
        <f t="shared" si="64"/>
        <v>0</v>
      </c>
      <c r="AL121" s="119">
        <f t="shared" si="64"/>
        <v>0</v>
      </c>
      <c r="AM121" s="120">
        <f t="shared" si="47"/>
        <v>0</v>
      </c>
      <c r="AN121" s="120">
        <v>0</v>
      </c>
      <c r="AO121" s="164">
        <f t="shared" si="48"/>
        <v>0</v>
      </c>
      <c r="AP121" s="150">
        <v>0</v>
      </c>
      <c r="AQ121" s="119">
        <f t="shared" si="49"/>
        <v>0</v>
      </c>
      <c r="AR121" s="150">
        <f t="shared" si="45"/>
        <v>0</v>
      </c>
      <c r="AS121" s="165">
        <f t="shared" si="50"/>
        <v>0</v>
      </c>
      <c r="AT121" s="181"/>
      <c r="AU121" s="167">
        <f t="shared" si="51"/>
        <v>0</v>
      </c>
      <c r="AV121" s="121"/>
      <c r="AW121" s="121"/>
      <c r="AX121" s="121"/>
      <c r="AY121" s="121"/>
      <c r="AZ121" s="121"/>
      <c r="BA121" s="121"/>
      <c r="BB121" s="121"/>
      <c r="BC121" s="121"/>
      <c r="BD121" s="121"/>
      <c r="BE121" s="121"/>
      <c r="BF121" s="121"/>
      <c r="BG121" s="121"/>
    </row>
    <row r="122" spans="1:59" s="122" customFormat="1" ht="15" customHeight="1">
      <c r="A122" s="113">
        <v>8</v>
      </c>
      <c r="B122" s="114" t="s">
        <v>96</v>
      </c>
      <c r="C122" s="115"/>
      <c r="D122" s="116">
        <v>0.05</v>
      </c>
      <c r="E122" s="117">
        <f t="shared" si="62"/>
        <v>155719.85</v>
      </c>
      <c r="F122" s="116"/>
      <c r="G122" s="117">
        <f t="shared" si="16"/>
        <v>0</v>
      </c>
      <c r="H122" s="116"/>
      <c r="I122" s="117"/>
      <c r="J122" s="116"/>
      <c r="K122" s="117">
        <f t="shared" si="26"/>
        <v>0</v>
      </c>
      <c r="L122" s="116"/>
      <c r="M122" s="117">
        <f t="shared" si="32"/>
        <v>0</v>
      </c>
      <c r="N122" s="116"/>
      <c r="O122" s="117">
        <f t="shared" si="19"/>
        <v>0</v>
      </c>
      <c r="P122" s="116"/>
      <c r="Q122" s="117">
        <f t="shared" si="20"/>
        <v>0</v>
      </c>
      <c r="R122" s="116"/>
      <c r="S122" s="117">
        <f t="shared" si="21"/>
        <v>0</v>
      </c>
      <c r="T122" s="116"/>
      <c r="U122" s="117">
        <f t="shared" si="27"/>
        <v>0</v>
      </c>
      <c r="V122" s="116"/>
      <c r="W122" s="117">
        <f t="shared" si="22"/>
        <v>0</v>
      </c>
      <c r="X122" s="116"/>
      <c r="Y122" s="117">
        <f t="shared" ref="Y122:Y123" si="65">X122*E122</f>
        <v>0</v>
      </c>
      <c r="Z122" s="116">
        <v>1</v>
      </c>
      <c r="AA122" s="117">
        <f t="shared" si="23"/>
        <v>155719.85</v>
      </c>
      <c r="AB122" s="116"/>
      <c r="AC122" s="117">
        <f t="shared" si="29"/>
        <v>0</v>
      </c>
      <c r="AD122" s="116"/>
      <c r="AE122" s="117">
        <f t="shared" si="24"/>
        <v>0</v>
      </c>
      <c r="AF122" s="116"/>
      <c r="AG122" s="118">
        <f t="shared" si="33"/>
        <v>0</v>
      </c>
      <c r="AH122" s="217"/>
      <c r="AI122" s="220"/>
      <c r="AJ122" s="220"/>
      <c r="AK122" s="150">
        <f t="shared" si="64"/>
        <v>0</v>
      </c>
      <c r="AL122" s="119">
        <f t="shared" si="64"/>
        <v>0</v>
      </c>
      <c r="AM122" s="120">
        <f t="shared" si="47"/>
        <v>0</v>
      </c>
      <c r="AN122" s="120">
        <v>0</v>
      </c>
      <c r="AO122" s="164">
        <f t="shared" si="48"/>
        <v>0</v>
      </c>
      <c r="AP122" s="150">
        <v>0</v>
      </c>
      <c r="AQ122" s="119">
        <f t="shared" si="49"/>
        <v>0</v>
      </c>
      <c r="AR122" s="150">
        <f t="shared" si="45"/>
        <v>0</v>
      </c>
      <c r="AS122" s="165">
        <f t="shared" si="50"/>
        <v>0</v>
      </c>
      <c r="AT122" s="181"/>
      <c r="AU122" s="167">
        <f t="shared" si="51"/>
        <v>0</v>
      </c>
      <c r="AV122" s="121"/>
      <c r="AW122" s="121"/>
      <c r="AX122" s="121"/>
      <c r="AY122" s="121"/>
      <c r="AZ122" s="121"/>
      <c r="BA122" s="121"/>
      <c r="BB122" s="121"/>
      <c r="BC122" s="121"/>
      <c r="BD122" s="121"/>
      <c r="BE122" s="121"/>
      <c r="BF122" s="121"/>
      <c r="BG122" s="121"/>
    </row>
    <row r="123" spans="1:59" s="122" customFormat="1" ht="15" customHeight="1">
      <c r="A123" s="113">
        <v>9</v>
      </c>
      <c r="B123" s="114" t="s">
        <v>44</v>
      </c>
      <c r="C123" s="115"/>
      <c r="D123" s="116">
        <v>0.05</v>
      </c>
      <c r="E123" s="117">
        <f t="shared" si="62"/>
        <v>155719.85</v>
      </c>
      <c r="F123" s="116"/>
      <c r="G123" s="117">
        <f t="shared" si="16"/>
        <v>0</v>
      </c>
      <c r="H123" s="116"/>
      <c r="I123" s="117"/>
      <c r="J123" s="116"/>
      <c r="K123" s="117">
        <f t="shared" si="26"/>
        <v>0</v>
      </c>
      <c r="L123" s="116"/>
      <c r="M123" s="117">
        <f t="shared" si="32"/>
        <v>0</v>
      </c>
      <c r="N123" s="116"/>
      <c r="O123" s="117">
        <f t="shared" si="19"/>
        <v>0</v>
      </c>
      <c r="P123" s="116"/>
      <c r="Q123" s="117">
        <f t="shared" si="20"/>
        <v>0</v>
      </c>
      <c r="R123" s="116"/>
      <c r="S123" s="117">
        <f t="shared" si="21"/>
        <v>0</v>
      </c>
      <c r="T123" s="116"/>
      <c r="U123" s="117">
        <f t="shared" si="27"/>
        <v>0</v>
      </c>
      <c r="V123" s="116"/>
      <c r="W123" s="117">
        <f t="shared" si="22"/>
        <v>0</v>
      </c>
      <c r="X123" s="116"/>
      <c r="Y123" s="117">
        <f t="shared" si="65"/>
        <v>0</v>
      </c>
      <c r="Z123" s="116"/>
      <c r="AA123" s="117">
        <f t="shared" si="23"/>
        <v>0</v>
      </c>
      <c r="AB123" s="116"/>
      <c r="AC123" s="117">
        <f t="shared" si="29"/>
        <v>0</v>
      </c>
      <c r="AD123" s="116">
        <v>1</v>
      </c>
      <c r="AE123" s="117">
        <f t="shared" si="24"/>
        <v>155719.85</v>
      </c>
      <c r="AF123" s="116"/>
      <c r="AG123" s="118">
        <f t="shared" si="33"/>
        <v>0</v>
      </c>
      <c r="AH123" s="218"/>
      <c r="AI123" s="221"/>
      <c r="AJ123" s="221"/>
      <c r="AK123" s="150">
        <f t="shared" si="64"/>
        <v>0</v>
      </c>
      <c r="AL123" s="119">
        <f t="shared" si="64"/>
        <v>0</v>
      </c>
      <c r="AM123" s="120">
        <f t="shared" si="47"/>
        <v>0</v>
      </c>
      <c r="AN123" s="120">
        <v>0</v>
      </c>
      <c r="AO123" s="164">
        <f t="shared" si="48"/>
        <v>0</v>
      </c>
      <c r="AP123" s="150">
        <v>0</v>
      </c>
      <c r="AQ123" s="119">
        <f t="shared" si="49"/>
        <v>0</v>
      </c>
      <c r="AR123" s="150">
        <f t="shared" si="45"/>
        <v>0</v>
      </c>
      <c r="AS123" s="165">
        <f t="shared" si="50"/>
        <v>0</v>
      </c>
      <c r="AT123" s="181"/>
      <c r="AU123" s="167">
        <f t="shared" si="51"/>
        <v>0</v>
      </c>
      <c r="AV123" s="121"/>
      <c r="AW123" s="121"/>
      <c r="AX123" s="121"/>
      <c r="AY123" s="121"/>
      <c r="AZ123" s="121"/>
      <c r="BA123" s="121"/>
      <c r="BB123" s="121"/>
      <c r="BC123" s="121"/>
      <c r="BD123" s="121"/>
      <c r="BE123" s="121"/>
      <c r="BF123" s="121"/>
      <c r="BG123" s="121"/>
    </row>
    <row r="124" spans="1:59" ht="15" customHeight="1">
      <c r="A124" s="74" t="s">
        <v>99</v>
      </c>
      <c r="B124" s="75" t="s">
        <v>100</v>
      </c>
      <c r="C124" s="76">
        <v>3114397</v>
      </c>
      <c r="D124" s="77"/>
      <c r="E124" s="78"/>
      <c r="F124" s="79"/>
      <c r="G124" s="80">
        <f t="shared" si="16"/>
        <v>0</v>
      </c>
      <c r="H124" s="79"/>
      <c r="I124" s="80"/>
      <c r="J124" s="80"/>
      <c r="K124" s="80">
        <f t="shared" si="26"/>
        <v>0</v>
      </c>
      <c r="L124" s="79"/>
      <c r="M124" s="80">
        <f t="shared" si="32"/>
        <v>0</v>
      </c>
      <c r="N124" s="80"/>
      <c r="O124" s="80">
        <f t="shared" si="19"/>
        <v>0</v>
      </c>
      <c r="P124" s="79"/>
      <c r="Q124" s="80">
        <f t="shared" si="20"/>
        <v>0</v>
      </c>
      <c r="R124" s="80"/>
      <c r="S124" s="80">
        <f t="shared" si="21"/>
        <v>0</v>
      </c>
      <c r="T124" s="79"/>
      <c r="U124" s="80">
        <f t="shared" si="27"/>
        <v>0</v>
      </c>
      <c r="V124" s="80"/>
      <c r="W124" s="80">
        <f t="shared" si="22"/>
        <v>0</v>
      </c>
      <c r="X124" s="79"/>
      <c r="Y124" s="82"/>
      <c r="Z124" s="80"/>
      <c r="AA124" s="80">
        <f t="shared" si="23"/>
        <v>0</v>
      </c>
      <c r="AB124" s="79"/>
      <c r="AC124" s="80">
        <f t="shared" si="29"/>
        <v>0</v>
      </c>
      <c r="AD124" s="80"/>
      <c r="AE124" s="80">
        <f t="shared" si="24"/>
        <v>0</v>
      </c>
      <c r="AF124" s="79"/>
      <c r="AG124" s="81">
        <f t="shared" si="33"/>
        <v>0</v>
      </c>
      <c r="AH124" s="216">
        <f>SUM(E125:E134)</f>
        <v>3114397.0000000005</v>
      </c>
      <c r="AI124" s="219">
        <f>SUM(AG125:AG134)+SUM(Q125:Q134)+SUM(G125:G134)+SUM(M125:M134)+SUM(U125:U134)+SUM(I125:I134)+SUM(Y125:Y134)+SUM(AC125:AC134)</f>
        <v>1868638.2</v>
      </c>
      <c r="AJ124" s="222">
        <f>AI124/AH124</f>
        <v>0.59999999999999987</v>
      </c>
      <c r="AK124" s="17">
        <f t="shared" si="64"/>
        <v>0</v>
      </c>
      <c r="AL124" s="23">
        <f t="shared" si="64"/>
        <v>0</v>
      </c>
      <c r="AM124" s="4">
        <f t="shared" si="47"/>
        <v>0</v>
      </c>
      <c r="AN124" s="4">
        <v>0</v>
      </c>
      <c r="AO124" s="136">
        <f t="shared" si="48"/>
        <v>0</v>
      </c>
      <c r="AP124" s="17">
        <v>0</v>
      </c>
      <c r="AQ124" s="23">
        <f t="shared" si="49"/>
        <v>0</v>
      </c>
      <c r="AR124" s="17">
        <f t="shared" si="45"/>
        <v>0</v>
      </c>
      <c r="AS124" s="141">
        <f t="shared" si="50"/>
        <v>0</v>
      </c>
      <c r="AT124" s="158"/>
      <c r="AU124" s="146">
        <f t="shared" si="51"/>
        <v>0</v>
      </c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</row>
    <row r="125" spans="1:59" s="122" customFormat="1" ht="15" customHeight="1">
      <c r="A125" s="113">
        <v>1</v>
      </c>
      <c r="B125" s="114" t="s">
        <v>34</v>
      </c>
      <c r="C125" s="115"/>
      <c r="D125" s="116">
        <v>0.02</v>
      </c>
      <c r="E125" s="117">
        <f t="shared" ref="E125:E134" si="66">+D125*$C$124</f>
        <v>62287.94</v>
      </c>
      <c r="F125" s="116"/>
      <c r="G125" s="117">
        <f t="shared" si="16"/>
        <v>0</v>
      </c>
      <c r="H125" s="116"/>
      <c r="I125" s="117">
        <f>+H125*$E125</f>
        <v>0</v>
      </c>
      <c r="J125" s="116">
        <v>1</v>
      </c>
      <c r="K125" s="117">
        <f t="shared" si="26"/>
        <v>62287.94</v>
      </c>
      <c r="L125" s="116">
        <v>1</v>
      </c>
      <c r="M125" s="117">
        <f t="shared" si="32"/>
        <v>62287.94</v>
      </c>
      <c r="N125" s="116"/>
      <c r="O125" s="117">
        <f t="shared" si="19"/>
        <v>0</v>
      </c>
      <c r="P125" s="116"/>
      <c r="Q125" s="117">
        <f t="shared" si="20"/>
        <v>0</v>
      </c>
      <c r="R125" s="116"/>
      <c r="S125" s="117">
        <f t="shared" si="21"/>
        <v>0</v>
      </c>
      <c r="T125" s="116"/>
      <c r="U125" s="117">
        <f t="shared" si="27"/>
        <v>0</v>
      </c>
      <c r="V125" s="116"/>
      <c r="W125" s="117">
        <f t="shared" si="22"/>
        <v>0</v>
      </c>
      <c r="X125" s="116"/>
      <c r="Y125" s="117">
        <f t="shared" ref="Y125:Y304" si="67">X125*E125</f>
        <v>0</v>
      </c>
      <c r="Z125" s="116"/>
      <c r="AA125" s="117">
        <f t="shared" si="23"/>
        <v>0</v>
      </c>
      <c r="AB125" s="116"/>
      <c r="AC125" s="117">
        <f t="shared" si="29"/>
        <v>0</v>
      </c>
      <c r="AD125" s="116"/>
      <c r="AE125" s="117">
        <f t="shared" si="24"/>
        <v>0</v>
      </c>
      <c r="AF125" s="116"/>
      <c r="AG125" s="118">
        <f t="shared" si="33"/>
        <v>0</v>
      </c>
      <c r="AH125" s="217"/>
      <c r="AI125" s="220"/>
      <c r="AJ125" s="220"/>
      <c r="AK125" s="150">
        <f t="shared" si="64"/>
        <v>1</v>
      </c>
      <c r="AL125" s="119">
        <f t="shared" si="64"/>
        <v>62287.94</v>
      </c>
      <c r="AM125" s="120">
        <f t="shared" si="47"/>
        <v>1</v>
      </c>
      <c r="AN125" s="120">
        <v>1</v>
      </c>
      <c r="AO125" s="164">
        <f t="shared" si="48"/>
        <v>0</v>
      </c>
      <c r="AP125" s="150">
        <v>1</v>
      </c>
      <c r="AQ125" s="119">
        <f t="shared" si="49"/>
        <v>62287.94</v>
      </c>
      <c r="AR125" s="150">
        <f t="shared" si="45"/>
        <v>0</v>
      </c>
      <c r="AS125" s="165">
        <f t="shared" si="50"/>
        <v>0</v>
      </c>
      <c r="AT125" s="181"/>
      <c r="AU125" s="167">
        <f t="shared" si="51"/>
        <v>0</v>
      </c>
      <c r="AV125" s="121"/>
      <c r="AW125" s="121"/>
      <c r="AX125" s="121"/>
      <c r="AY125" s="121"/>
      <c r="AZ125" s="121"/>
      <c r="BA125" s="121"/>
      <c r="BB125" s="121"/>
      <c r="BC125" s="121"/>
      <c r="BD125" s="121"/>
      <c r="BE125" s="121"/>
      <c r="BF125" s="121"/>
      <c r="BG125" s="121"/>
    </row>
    <row r="126" spans="1:59" s="122" customFormat="1" ht="15" customHeight="1">
      <c r="A126" s="113">
        <v>2</v>
      </c>
      <c r="B126" s="114" t="s">
        <v>47</v>
      </c>
      <c r="C126" s="115"/>
      <c r="D126" s="116">
        <v>0.13</v>
      </c>
      <c r="E126" s="117">
        <f t="shared" si="66"/>
        <v>404871.61</v>
      </c>
      <c r="F126" s="116"/>
      <c r="G126" s="117">
        <f t="shared" si="16"/>
        <v>0</v>
      </c>
      <c r="H126" s="116"/>
      <c r="I126" s="117"/>
      <c r="J126" s="116">
        <v>1</v>
      </c>
      <c r="K126" s="117">
        <f t="shared" si="26"/>
        <v>404871.61</v>
      </c>
      <c r="L126" s="116">
        <v>1</v>
      </c>
      <c r="M126" s="117">
        <f t="shared" si="32"/>
        <v>404871.61</v>
      </c>
      <c r="N126" s="116"/>
      <c r="O126" s="117">
        <f t="shared" si="19"/>
        <v>0</v>
      </c>
      <c r="P126" s="116"/>
      <c r="Q126" s="117">
        <f t="shared" si="20"/>
        <v>0</v>
      </c>
      <c r="R126" s="116"/>
      <c r="S126" s="117">
        <f t="shared" si="21"/>
        <v>0</v>
      </c>
      <c r="T126" s="116"/>
      <c r="U126" s="117">
        <f t="shared" si="27"/>
        <v>0</v>
      </c>
      <c r="V126" s="116"/>
      <c r="W126" s="117">
        <f t="shared" si="22"/>
        <v>0</v>
      </c>
      <c r="X126" s="116"/>
      <c r="Y126" s="117">
        <f t="shared" si="67"/>
        <v>0</v>
      </c>
      <c r="Z126" s="116"/>
      <c r="AA126" s="117">
        <f t="shared" si="23"/>
        <v>0</v>
      </c>
      <c r="AB126" s="116"/>
      <c r="AC126" s="117">
        <f t="shared" si="29"/>
        <v>0</v>
      </c>
      <c r="AD126" s="116"/>
      <c r="AE126" s="117">
        <f t="shared" si="24"/>
        <v>0</v>
      </c>
      <c r="AF126" s="116"/>
      <c r="AG126" s="118">
        <f t="shared" si="33"/>
        <v>0</v>
      </c>
      <c r="AH126" s="217"/>
      <c r="AI126" s="220"/>
      <c r="AJ126" s="220"/>
      <c r="AK126" s="150">
        <f t="shared" si="64"/>
        <v>1</v>
      </c>
      <c r="AL126" s="119">
        <f t="shared" si="64"/>
        <v>404871.61</v>
      </c>
      <c r="AM126" s="120">
        <f t="shared" si="47"/>
        <v>1</v>
      </c>
      <c r="AN126" s="120">
        <v>1</v>
      </c>
      <c r="AO126" s="164">
        <f t="shared" si="48"/>
        <v>0</v>
      </c>
      <c r="AP126" s="150">
        <v>0.6</v>
      </c>
      <c r="AQ126" s="119">
        <f t="shared" si="49"/>
        <v>242922.96599999999</v>
      </c>
      <c r="AR126" s="150">
        <f t="shared" si="45"/>
        <v>0.4</v>
      </c>
      <c r="AS126" s="165">
        <f t="shared" si="50"/>
        <v>161948.644</v>
      </c>
      <c r="AT126" s="181"/>
      <c r="AU126" s="167">
        <f t="shared" si="51"/>
        <v>0</v>
      </c>
      <c r="AV126" s="121"/>
      <c r="AW126" s="121"/>
      <c r="AX126" s="121"/>
      <c r="AY126" s="121"/>
      <c r="AZ126" s="121"/>
      <c r="BA126" s="121"/>
      <c r="BB126" s="121"/>
      <c r="BC126" s="121"/>
      <c r="BD126" s="121"/>
      <c r="BE126" s="121"/>
      <c r="BF126" s="121"/>
      <c r="BG126" s="121"/>
    </row>
    <row r="127" spans="1:59" s="122" customFormat="1" ht="15" customHeight="1">
      <c r="A127" s="113">
        <v>3</v>
      </c>
      <c r="B127" s="114" t="s">
        <v>48</v>
      </c>
      <c r="C127" s="115"/>
      <c r="D127" s="116">
        <v>0.15</v>
      </c>
      <c r="E127" s="117">
        <f t="shared" si="66"/>
        <v>467159.55</v>
      </c>
      <c r="F127" s="116"/>
      <c r="G127" s="117">
        <f t="shared" si="16"/>
        <v>0</v>
      </c>
      <c r="H127" s="116"/>
      <c r="I127" s="117"/>
      <c r="J127" s="116">
        <v>1</v>
      </c>
      <c r="K127" s="117">
        <f t="shared" si="26"/>
        <v>467159.55</v>
      </c>
      <c r="L127" s="116">
        <v>1</v>
      </c>
      <c r="M127" s="117">
        <f t="shared" si="32"/>
        <v>467159.55</v>
      </c>
      <c r="N127" s="116"/>
      <c r="O127" s="117">
        <f t="shared" si="19"/>
        <v>0</v>
      </c>
      <c r="P127" s="116"/>
      <c r="Q127" s="117">
        <f t="shared" si="20"/>
        <v>0</v>
      </c>
      <c r="R127" s="116"/>
      <c r="S127" s="117">
        <f t="shared" si="21"/>
        <v>0</v>
      </c>
      <c r="T127" s="116"/>
      <c r="U127" s="117">
        <f t="shared" si="27"/>
        <v>0</v>
      </c>
      <c r="V127" s="116"/>
      <c r="W127" s="117">
        <f t="shared" si="22"/>
        <v>0</v>
      </c>
      <c r="X127" s="116"/>
      <c r="Y127" s="117">
        <f t="shared" si="67"/>
        <v>0</v>
      </c>
      <c r="Z127" s="116"/>
      <c r="AA127" s="117">
        <f t="shared" si="23"/>
        <v>0</v>
      </c>
      <c r="AB127" s="116"/>
      <c r="AC127" s="117">
        <f t="shared" si="29"/>
        <v>0</v>
      </c>
      <c r="AD127" s="116"/>
      <c r="AE127" s="117">
        <f t="shared" si="24"/>
        <v>0</v>
      </c>
      <c r="AF127" s="116"/>
      <c r="AG127" s="118">
        <f t="shared" si="33"/>
        <v>0</v>
      </c>
      <c r="AH127" s="217"/>
      <c r="AI127" s="220"/>
      <c r="AJ127" s="220"/>
      <c r="AK127" s="150">
        <f t="shared" si="64"/>
        <v>1</v>
      </c>
      <c r="AL127" s="119">
        <f t="shared" si="64"/>
        <v>467159.55</v>
      </c>
      <c r="AM127" s="120">
        <f t="shared" si="47"/>
        <v>1</v>
      </c>
      <c r="AN127" s="120">
        <v>1</v>
      </c>
      <c r="AO127" s="164">
        <f t="shared" si="48"/>
        <v>0</v>
      </c>
      <c r="AP127" s="150">
        <v>0</v>
      </c>
      <c r="AQ127" s="119">
        <f t="shared" si="49"/>
        <v>0</v>
      </c>
      <c r="AR127" s="150">
        <f t="shared" si="45"/>
        <v>1</v>
      </c>
      <c r="AS127" s="165">
        <f t="shared" si="50"/>
        <v>467159.55</v>
      </c>
      <c r="AT127" s="181"/>
      <c r="AU127" s="167">
        <f t="shared" si="51"/>
        <v>0</v>
      </c>
      <c r="AV127" s="121"/>
      <c r="AW127" s="121"/>
      <c r="AX127" s="121"/>
      <c r="AY127" s="121"/>
      <c r="AZ127" s="121"/>
      <c r="BA127" s="121"/>
      <c r="BB127" s="121"/>
      <c r="BC127" s="121"/>
      <c r="BD127" s="121"/>
      <c r="BE127" s="121"/>
      <c r="BF127" s="121"/>
      <c r="BG127" s="121"/>
    </row>
    <row r="128" spans="1:59" s="122" customFormat="1" ht="15" customHeight="1">
      <c r="A128" s="113">
        <v>4</v>
      </c>
      <c r="B128" s="114" t="s">
        <v>95</v>
      </c>
      <c r="C128" s="115"/>
      <c r="D128" s="116">
        <v>0.15</v>
      </c>
      <c r="E128" s="117">
        <f t="shared" si="66"/>
        <v>467159.55</v>
      </c>
      <c r="F128" s="116"/>
      <c r="G128" s="117">
        <f t="shared" si="16"/>
        <v>0</v>
      </c>
      <c r="H128" s="116"/>
      <c r="I128" s="117"/>
      <c r="J128" s="116"/>
      <c r="K128" s="117">
        <f t="shared" si="26"/>
        <v>0</v>
      </c>
      <c r="L128" s="116"/>
      <c r="M128" s="117">
        <f t="shared" si="32"/>
        <v>0</v>
      </c>
      <c r="N128" s="116">
        <v>0.5</v>
      </c>
      <c r="O128" s="117">
        <f t="shared" si="19"/>
        <v>233579.77499999999</v>
      </c>
      <c r="P128" s="116">
        <v>0.5</v>
      </c>
      <c r="Q128" s="117">
        <f t="shared" si="20"/>
        <v>233579.77499999999</v>
      </c>
      <c r="R128" s="116">
        <v>0.5</v>
      </c>
      <c r="S128" s="117">
        <f t="shared" si="21"/>
        <v>233579.77499999999</v>
      </c>
      <c r="T128" s="116">
        <v>0.5</v>
      </c>
      <c r="U128" s="117">
        <f t="shared" si="27"/>
        <v>233579.77499999999</v>
      </c>
      <c r="V128" s="116"/>
      <c r="W128" s="117">
        <f t="shared" si="22"/>
        <v>0</v>
      </c>
      <c r="X128" s="116"/>
      <c r="Y128" s="117">
        <f t="shared" si="67"/>
        <v>0</v>
      </c>
      <c r="Z128" s="116"/>
      <c r="AA128" s="117">
        <f t="shared" si="23"/>
        <v>0</v>
      </c>
      <c r="AB128" s="116"/>
      <c r="AC128" s="117">
        <f t="shared" si="29"/>
        <v>0</v>
      </c>
      <c r="AD128" s="116"/>
      <c r="AE128" s="117">
        <f t="shared" si="24"/>
        <v>0</v>
      </c>
      <c r="AF128" s="116"/>
      <c r="AG128" s="118">
        <f t="shared" si="33"/>
        <v>0</v>
      </c>
      <c r="AH128" s="217"/>
      <c r="AI128" s="220"/>
      <c r="AJ128" s="220"/>
      <c r="AK128" s="150">
        <f t="shared" si="64"/>
        <v>1</v>
      </c>
      <c r="AL128" s="119">
        <f t="shared" si="64"/>
        <v>467159.55</v>
      </c>
      <c r="AM128" s="120">
        <f t="shared" si="47"/>
        <v>1</v>
      </c>
      <c r="AN128" s="120">
        <v>1</v>
      </c>
      <c r="AO128" s="164">
        <f t="shared" si="48"/>
        <v>0</v>
      </c>
      <c r="AP128" s="150">
        <v>0</v>
      </c>
      <c r="AQ128" s="119">
        <f t="shared" si="49"/>
        <v>0</v>
      </c>
      <c r="AR128" s="150">
        <f t="shared" si="45"/>
        <v>1</v>
      </c>
      <c r="AS128" s="165">
        <f t="shared" si="50"/>
        <v>467159.55</v>
      </c>
      <c r="AT128" s="181"/>
      <c r="AU128" s="167">
        <f t="shared" si="51"/>
        <v>0</v>
      </c>
      <c r="AV128" s="121"/>
      <c r="AW128" s="121"/>
      <c r="AX128" s="121"/>
      <c r="AY128" s="121"/>
      <c r="AZ128" s="121"/>
      <c r="BA128" s="121"/>
      <c r="BB128" s="121"/>
      <c r="BC128" s="121"/>
      <c r="BD128" s="121"/>
      <c r="BE128" s="121"/>
      <c r="BF128" s="121"/>
      <c r="BG128" s="121"/>
    </row>
    <row r="129" spans="1:59" s="122" customFormat="1" ht="15" customHeight="1">
      <c r="A129" s="113">
        <v>5</v>
      </c>
      <c r="B129" s="114" t="s">
        <v>54</v>
      </c>
      <c r="C129" s="115"/>
      <c r="D129" s="116">
        <v>0.15</v>
      </c>
      <c r="E129" s="117">
        <f t="shared" si="66"/>
        <v>467159.55</v>
      </c>
      <c r="F129" s="116"/>
      <c r="G129" s="117">
        <f t="shared" si="16"/>
        <v>0</v>
      </c>
      <c r="H129" s="116"/>
      <c r="I129" s="117"/>
      <c r="J129" s="116"/>
      <c r="K129" s="117">
        <f t="shared" si="26"/>
        <v>0</v>
      </c>
      <c r="L129" s="116"/>
      <c r="M129" s="117">
        <f t="shared" si="32"/>
        <v>0</v>
      </c>
      <c r="N129" s="116"/>
      <c r="O129" s="117">
        <f t="shared" si="19"/>
        <v>0</v>
      </c>
      <c r="P129" s="116"/>
      <c r="Q129" s="117">
        <f t="shared" si="20"/>
        <v>0</v>
      </c>
      <c r="R129" s="116">
        <v>1</v>
      </c>
      <c r="S129" s="117">
        <f t="shared" si="21"/>
        <v>467159.55</v>
      </c>
      <c r="T129" s="116">
        <v>1</v>
      </c>
      <c r="U129" s="117">
        <f t="shared" si="27"/>
        <v>467159.55</v>
      </c>
      <c r="V129" s="116"/>
      <c r="W129" s="117">
        <f t="shared" si="22"/>
        <v>0</v>
      </c>
      <c r="X129" s="116"/>
      <c r="Y129" s="117">
        <f t="shared" si="67"/>
        <v>0</v>
      </c>
      <c r="Z129" s="116"/>
      <c r="AA129" s="117">
        <f t="shared" si="23"/>
        <v>0</v>
      </c>
      <c r="AB129" s="116"/>
      <c r="AC129" s="117">
        <f t="shared" si="29"/>
        <v>0</v>
      </c>
      <c r="AD129" s="116"/>
      <c r="AE129" s="117">
        <f t="shared" si="24"/>
        <v>0</v>
      </c>
      <c r="AF129" s="116"/>
      <c r="AG129" s="118">
        <f t="shared" si="33"/>
        <v>0</v>
      </c>
      <c r="AH129" s="217"/>
      <c r="AI129" s="220"/>
      <c r="AJ129" s="220"/>
      <c r="AK129" s="150">
        <f t="shared" si="64"/>
        <v>1</v>
      </c>
      <c r="AL129" s="119">
        <f t="shared" si="64"/>
        <v>467159.55</v>
      </c>
      <c r="AM129" s="120">
        <f t="shared" si="47"/>
        <v>1</v>
      </c>
      <c r="AN129" s="120">
        <v>0.4</v>
      </c>
      <c r="AO129" s="164">
        <f t="shared" si="48"/>
        <v>0.6</v>
      </c>
      <c r="AP129" s="150">
        <v>0</v>
      </c>
      <c r="AQ129" s="119">
        <f t="shared" si="49"/>
        <v>0</v>
      </c>
      <c r="AR129" s="150">
        <f t="shared" si="45"/>
        <v>1</v>
      </c>
      <c r="AS129" s="165">
        <f t="shared" si="50"/>
        <v>467159.55</v>
      </c>
      <c r="AT129" s="181">
        <f t="shared" ref="AT129:AT130" si="68">100%-AK129</f>
        <v>0</v>
      </c>
      <c r="AU129" s="167">
        <f t="shared" si="51"/>
        <v>0</v>
      </c>
      <c r="AV129" s="121"/>
      <c r="AW129" s="121"/>
      <c r="AX129" s="121"/>
      <c r="AY129" s="121"/>
      <c r="AZ129" s="121"/>
      <c r="BA129" s="121"/>
      <c r="BB129" s="121"/>
      <c r="BC129" s="121"/>
      <c r="BD129" s="121"/>
      <c r="BE129" s="121"/>
      <c r="BF129" s="121"/>
      <c r="BG129" s="121"/>
    </row>
    <row r="130" spans="1:59" s="122" customFormat="1" ht="15" customHeight="1">
      <c r="A130" s="113">
        <v>6</v>
      </c>
      <c r="B130" s="114" t="s">
        <v>91</v>
      </c>
      <c r="C130" s="115"/>
      <c r="D130" s="116">
        <v>0.2</v>
      </c>
      <c r="E130" s="117">
        <f t="shared" si="66"/>
        <v>622879.4</v>
      </c>
      <c r="F130" s="116"/>
      <c r="G130" s="117">
        <f t="shared" si="16"/>
        <v>0</v>
      </c>
      <c r="H130" s="116"/>
      <c r="I130" s="117"/>
      <c r="J130" s="116"/>
      <c r="K130" s="117">
        <f t="shared" si="26"/>
        <v>0</v>
      </c>
      <c r="L130" s="116"/>
      <c r="M130" s="117">
        <f t="shared" si="32"/>
        <v>0</v>
      </c>
      <c r="N130" s="116"/>
      <c r="O130" s="117">
        <f t="shared" si="19"/>
        <v>0</v>
      </c>
      <c r="P130" s="116"/>
      <c r="Q130" s="117">
        <f t="shared" si="20"/>
        <v>0</v>
      </c>
      <c r="R130" s="116"/>
      <c r="S130" s="117">
        <f t="shared" si="21"/>
        <v>0</v>
      </c>
      <c r="T130" s="116"/>
      <c r="U130" s="117">
        <f t="shared" si="27"/>
        <v>0</v>
      </c>
      <c r="V130" s="116">
        <v>1</v>
      </c>
      <c r="W130" s="117">
        <f t="shared" si="22"/>
        <v>622879.4</v>
      </c>
      <c r="X130" s="116"/>
      <c r="Y130" s="117">
        <f t="shared" si="67"/>
        <v>0</v>
      </c>
      <c r="Z130" s="116"/>
      <c r="AA130" s="117">
        <f t="shared" si="23"/>
        <v>0</v>
      </c>
      <c r="AB130" s="116"/>
      <c r="AC130" s="117">
        <f t="shared" si="29"/>
        <v>0</v>
      </c>
      <c r="AD130" s="116"/>
      <c r="AE130" s="117">
        <f t="shared" si="24"/>
        <v>0</v>
      </c>
      <c r="AF130" s="116"/>
      <c r="AG130" s="118">
        <f t="shared" si="33"/>
        <v>0</v>
      </c>
      <c r="AH130" s="217"/>
      <c r="AI130" s="220"/>
      <c r="AJ130" s="220"/>
      <c r="AK130" s="150">
        <f t="shared" si="64"/>
        <v>0</v>
      </c>
      <c r="AL130" s="119">
        <f t="shared" si="64"/>
        <v>0</v>
      </c>
      <c r="AM130" s="120">
        <f t="shared" si="47"/>
        <v>0</v>
      </c>
      <c r="AN130" s="120">
        <v>0</v>
      </c>
      <c r="AO130" s="164">
        <f t="shared" si="48"/>
        <v>0</v>
      </c>
      <c r="AP130" s="150">
        <v>0</v>
      </c>
      <c r="AQ130" s="119">
        <f t="shared" si="49"/>
        <v>0</v>
      </c>
      <c r="AR130" s="150">
        <f t="shared" si="45"/>
        <v>0</v>
      </c>
      <c r="AS130" s="165">
        <f t="shared" si="50"/>
        <v>0</v>
      </c>
      <c r="AT130" s="181">
        <f t="shared" si="68"/>
        <v>1</v>
      </c>
      <c r="AU130" s="167">
        <f t="shared" si="51"/>
        <v>622879.4</v>
      </c>
      <c r="AV130" s="121"/>
      <c r="AW130" s="121"/>
      <c r="AX130" s="121"/>
      <c r="AY130" s="121"/>
      <c r="AZ130" s="121"/>
      <c r="BA130" s="121"/>
      <c r="BB130" s="121"/>
      <c r="BC130" s="121"/>
      <c r="BD130" s="121"/>
      <c r="BE130" s="121"/>
      <c r="BF130" s="121"/>
      <c r="BG130" s="121"/>
    </row>
    <row r="131" spans="1:59" s="122" customFormat="1" ht="15" customHeight="1">
      <c r="A131" s="113">
        <v>7</v>
      </c>
      <c r="B131" s="114" t="s">
        <v>92</v>
      </c>
      <c r="C131" s="115"/>
      <c r="D131" s="116">
        <v>0.05</v>
      </c>
      <c r="E131" s="117">
        <f t="shared" si="66"/>
        <v>155719.85</v>
      </c>
      <c r="F131" s="116"/>
      <c r="G131" s="117">
        <f t="shared" si="16"/>
        <v>0</v>
      </c>
      <c r="H131" s="116"/>
      <c r="I131" s="117"/>
      <c r="J131" s="116"/>
      <c r="K131" s="117">
        <f t="shared" si="26"/>
        <v>0</v>
      </c>
      <c r="L131" s="116"/>
      <c r="M131" s="117">
        <f t="shared" si="32"/>
        <v>0</v>
      </c>
      <c r="N131" s="116"/>
      <c r="O131" s="117">
        <f t="shared" si="19"/>
        <v>0</v>
      </c>
      <c r="P131" s="116"/>
      <c r="Q131" s="117">
        <f t="shared" si="20"/>
        <v>0</v>
      </c>
      <c r="R131" s="116"/>
      <c r="S131" s="117">
        <f t="shared" si="21"/>
        <v>0</v>
      </c>
      <c r="T131" s="116"/>
      <c r="U131" s="117">
        <f t="shared" si="27"/>
        <v>0</v>
      </c>
      <c r="V131" s="116"/>
      <c r="W131" s="117">
        <f t="shared" si="22"/>
        <v>0</v>
      </c>
      <c r="X131" s="116"/>
      <c r="Y131" s="117">
        <f t="shared" si="67"/>
        <v>0</v>
      </c>
      <c r="Z131" s="116">
        <v>1</v>
      </c>
      <c r="AA131" s="117">
        <f t="shared" si="23"/>
        <v>155719.85</v>
      </c>
      <c r="AB131" s="116"/>
      <c r="AC131" s="117">
        <f t="shared" si="29"/>
        <v>0</v>
      </c>
      <c r="AD131" s="116"/>
      <c r="AE131" s="117">
        <f t="shared" si="24"/>
        <v>0</v>
      </c>
      <c r="AF131" s="116"/>
      <c r="AG131" s="118">
        <f t="shared" si="33"/>
        <v>0</v>
      </c>
      <c r="AH131" s="217"/>
      <c r="AI131" s="220"/>
      <c r="AJ131" s="220"/>
      <c r="AK131" s="150">
        <f t="shared" si="64"/>
        <v>0</v>
      </c>
      <c r="AL131" s="119">
        <f t="shared" si="64"/>
        <v>0</v>
      </c>
      <c r="AM131" s="120">
        <f t="shared" si="47"/>
        <v>0</v>
      </c>
      <c r="AN131" s="120">
        <v>0</v>
      </c>
      <c r="AO131" s="164">
        <f t="shared" si="48"/>
        <v>0</v>
      </c>
      <c r="AP131" s="150">
        <v>0</v>
      </c>
      <c r="AQ131" s="119">
        <f t="shared" si="49"/>
        <v>0</v>
      </c>
      <c r="AR131" s="150">
        <f t="shared" si="45"/>
        <v>0</v>
      </c>
      <c r="AS131" s="165">
        <f t="shared" si="50"/>
        <v>0</v>
      </c>
      <c r="AT131" s="181"/>
      <c r="AU131" s="167">
        <f t="shared" si="51"/>
        <v>0</v>
      </c>
      <c r="AV131" s="121"/>
      <c r="AW131" s="121"/>
      <c r="AX131" s="121"/>
      <c r="AY131" s="121"/>
      <c r="AZ131" s="121"/>
      <c r="BA131" s="121"/>
      <c r="BB131" s="121"/>
      <c r="BC131" s="121"/>
      <c r="BD131" s="121"/>
      <c r="BE131" s="121"/>
      <c r="BF131" s="121"/>
      <c r="BG131" s="121"/>
    </row>
    <row r="132" spans="1:59" s="122" customFormat="1" ht="15" customHeight="1">
      <c r="A132" s="113">
        <v>8</v>
      </c>
      <c r="B132" s="114" t="s">
        <v>96</v>
      </c>
      <c r="C132" s="115"/>
      <c r="D132" s="116">
        <v>0.05</v>
      </c>
      <c r="E132" s="117">
        <f t="shared" si="66"/>
        <v>155719.85</v>
      </c>
      <c r="F132" s="116"/>
      <c r="G132" s="117">
        <f t="shared" si="16"/>
        <v>0</v>
      </c>
      <c r="H132" s="116"/>
      <c r="I132" s="117"/>
      <c r="J132" s="116"/>
      <c r="K132" s="117">
        <f t="shared" si="26"/>
        <v>0</v>
      </c>
      <c r="L132" s="116"/>
      <c r="M132" s="117">
        <f t="shared" si="32"/>
        <v>0</v>
      </c>
      <c r="N132" s="116"/>
      <c r="O132" s="117">
        <f t="shared" si="19"/>
        <v>0</v>
      </c>
      <c r="P132" s="116"/>
      <c r="Q132" s="117">
        <f t="shared" si="20"/>
        <v>0</v>
      </c>
      <c r="R132" s="116"/>
      <c r="S132" s="117">
        <f t="shared" si="21"/>
        <v>0</v>
      </c>
      <c r="T132" s="116"/>
      <c r="U132" s="117">
        <f t="shared" si="27"/>
        <v>0</v>
      </c>
      <c r="V132" s="116"/>
      <c r="W132" s="117">
        <f t="shared" si="22"/>
        <v>0</v>
      </c>
      <c r="X132" s="116"/>
      <c r="Y132" s="117">
        <f t="shared" si="67"/>
        <v>0</v>
      </c>
      <c r="Z132" s="116">
        <v>1</v>
      </c>
      <c r="AA132" s="117">
        <f t="shared" si="23"/>
        <v>155719.85</v>
      </c>
      <c r="AB132" s="116"/>
      <c r="AC132" s="117">
        <f t="shared" si="29"/>
        <v>0</v>
      </c>
      <c r="AD132" s="116"/>
      <c r="AE132" s="117">
        <f t="shared" si="24"/>
        <v>0</v>
      </c>
      <c r="AF132" s="116"/>
      <c r="AG132" s="118">
        <f t="shared" si="33"/>
        <v>0</v>
      </c>
      <c r="AH132" s="217"/>
      <c r="AI132" s="220"/>
      <c r="AJ132" s="220"/>
      <c r="AK132" s="150">
        <f t="shared" si="64"/>
        <v>0</v>
      </c>
      <c r="AL132" s="119">
        <f t="shared" si="64"/>
        <v>0</v>
      </c>
      <c r="AM132" s="120">
        <f t="shared" si="47"/>
        <v>0</v>
      </c>
      <c r="AN132" s="120">
        <v>0</v>
      </c>
      <c r="AO132" s="164">
        <f t="shared" si="48"/>
        <v>0</v>
      </c>
      <c r="AP132" s="150">
        <v>0</v>
      </c>
      <c r="AQ132" s="119">
        <f t="shared" si="49"/>
        <v>0</v>
      </c>
      <c r="AR132" s="150">
        <f t="shared" si="45"/>
        <v>0</v>
      </c>
      <c r="AS132" s="165">
        <f t="shared" si="50"/>
        <v>0</v>
      </c>
      <c r="AT132" s="181"/>
      <c r="AU132" s="167">
        <f t="shared" si="51"/>
        <v>0</v>
      </c>
      <c r="AV132" s="121"/>
      <c r="AW132" s="121"/>
      <c r="AX132" s="121"/>
      <c r="AY132" s="121"/>
      <c r="AZ132" s="121"/>
      <c r="BA132" s="121"/>
      <c r="BB132" s="121"/>
      <c r="BC132" s="121"/>
      <c r="BD132" s="121"/>
      <c r="BE132" s="121"/>
      <c r="BF132" s="121"/>
      <c r="BG132" s="121"/>
    </row>
    <row r="133" spans="1:59" s="122" customFormat="1" ht="15" customHeight="1">
      <c r="A133" s="113">
        <v>9</v>
      </c>
      <c r="B133" s="114" t="s">
        <v>101</v>
      </c>
      <c r="C133" s="115"/>
      <c r="D133" s="116">
        <v>0.05</v>
      </c>
      <c r="E133" s="117">
        <f t="shared" si="66"/>
        <v>155719.85</v>
      </c>
      <c r="F133" s="116"/>
      <c r="G133" s="117">
        <f t="shared" si="16"/>
        <v>0</v>
      </c>
      <c r="H133" s="116"/>
      <c r="I133" s="117"/>
      <c r="J133" s="116"/>
      <c r="K133" s="117">
        <f t="shared" si="26"/>
        <v>0</v>
      </c>
      <c r="L133" s="116"/>
      <c r="M133" s="117">
        <f t="shared" si="32"/>
        <v>0</v>
      </c>
      <c r="N133" s="116"/>
      <c r="O133" s="117">
        <f t="shared" si="19"/>
        <v>0</v>
      </c>
      <c r="P133" s="116"/>
      <c r="Q133" s="117">
        <f t="shared" si="20"/>
        <v>0</v>
      </c>
      <c r="R133" s="116"/>
      <c r="S133" s="117">
        <f t="shared" si="21"/>
        <v>0</v>
      </c>
      <c r="T133" s="116"/>
      <c r="U133" s="117">
        <f t="shared" si="27"/>
        <v>0</v>
      </c>
      <c r="V133" s="116"/>
      <c r="W133" s="117">
        <f t="shared" si="22"/>
        <v>0</v>
      </c>
      <c r="X133" s="116"/>
      <c r="Y133" s="117">
        <f t="shared" si="67"/>
        <v>0</v>
      </c>
      <c r="Z133" s="116"/>
      <c r="AA133" s="117">
        <f t="shared" si="23"/>
        <v>0</v>
      </c>
      <c r="AB133" s="116"/>
      <c r="AC133" s="117">
        <f t="shared" si="29"/>
        <v>0</v>
      </c>
      <c r="AD133" s="116">
        <v>1</v>
      </c>
      <c r="AE133" s="117">
        <f t="shared" si="24"/>
        <v>155719.85</v>
      </c>
      <c r="AF133" s="116"/>
      <c r="AG133" s="118">
        <f t="shared" si="33"/>
        <v>0</v>
      </c>
      <c r="AH133" s="217"/>
      <c r="AI133" s="220"/>
      <c r="AJ133" s="220"/>
      <c r="AK133" s="150">
        <f t="shared" si="64"/>
        <v>0</v>
      </c>
      <c r="AL133" s="119">
        <f t="shared" si="64"/>
        <v>0</v>
      </c>
      <c r="AM133" s="120">
        <f t="shared" si="47"/>
        <v>0</v>
      </c>
      <c r="AN133" s="120">
        <v>0</v>
      </c>
      <c r="AO133" s="164">
        <f t="shared" si="48"/>
        <v>0</v>
      </c>
      <c r="AP133" s="150">
        <v>0</v>
      </c>
      <c r="AQ133" s="119">
        <f t="shared" si="49"/>
        <v>0</v>
      </c>
      <c r="AR133" s="150">
        <f t="shared" si="45"/>
        <v>0</v>
      </c>
      <c r="AS133" s="165">
        <f t="shared" si="50"/>
        <v>0</v>
      </c>
      <c r="AT133" s="181"/>
      <c r="AU133" s="167">
        <f t="shared" si="51"/>
        <v>0</v>
      </c>
      <c r="AV133" s="121"/>
      <c r="AW133" s="121"/>
      <c r="AX133" s="121"/>
      <c r="AY133" s="121"/>
      <c r="AZ133" s="121"/>
      <c r="BA133" s="121"/>
      <c r="BB133" s="121"/>
      <c r="BC133" s="121"/>
      <c r="BD133" s="121"/>
      <c r="BE133" s="121"/>
      <c r="BF133" s="121"/>
      <c r="BG133" s="121"/>
    </row>
    <row r="134" spans="1:59" s="122" customFormat="1" ht="15" customHeight="1">
      <c r="A134" s="113">
        <v>10</v>
      </c>
      <c r="B134" s="114" t="s">
        <v>44</v>
      </c>
      <c r="C134" s="115"/>
      <c r="D134" s="116">
        <v>0.05</v>
      </c>
      <c r="E134" s="117">
        <f t="shared" si="66"/>
        <v>155719.85</v>
      </c>
      <c r="F134" s="116"/>
      <c r="G134" s="117">
        <f t="shared" si="16"/>
        <v>0</v>
      </c>
      <c r="H134" s="116"/>
      <c r="I134" s="117"/>
      <c r="J134" s="116"/>
      <c r="K134" s="117">
        <f t="shared" si="26"/>
        <v>0</v>
      </c>
      <c r="L134" s="116"/>
      <c r="M134" s="117">
        <f t="shared" si="32"/>
        <v>0</v>
      </c>
      <c r="N134" s="116"/>
      <c r="O134" s="117">
        <f t="shared" si="19"/>
        <v>0</v>
      </c>
      <c r="P134" s="116"/>
      <c r="Q134" s="117">
        <f t="shared" si="20"/>
        <v>0</v>
      </c>
      <c r="R134" s="116"/>
      <c r="S134" s="117">
        <f t="shared" si="21"/>
        <v>0</v>
      </c>
      <c r="T134" s="116"/>
      <c r="U134" s="117">
        <f t="shared" si="27"/>
        <v>0</v>
      </c>
      <c r="V134" s="116"/>
      <c r="W134" s="117">
        <f t="shared" si="22"/>
        <v>0</v>
      </c>
      <c r="X134" s="116"/>
      <c r="Y134" s="117">
        <f t="shared" si="67"/>
        <v>0</v>
      </c>
      <c r="Z134" s="116"/>
      <c r="AA134" s="117">
        <f t="shared" si="23"/>
        <v>0</v>
      </c>
      <c r="AB134" s="116"/>
      <c r="AC134" s="117">
        <f t="shared" si="29"/>
        <v>0</v>
      </c>
      <c r="AD134" s="116">
        <v>1</v>
      </c>
      <c r="AE134" s="117">
        <f t="shared" si="24"/>
        <v>155719.85</v>
      </c>
      <c r="AF134" s="116"/>
      <c r="AG134" s="118">
        <f t="shared" si="33"/>
        <v>0</v>
      </c>
      <c r="AH134" s="218"/>
      <c r="AI134" s="221"/>
      <c r="AJ134" s="221"/>
      <c r="AK134" s="150">
        <f t="shared" si="64"/>
        <v>0</v>
      </c>
      <c r="AL134" s="119">
        <f t="shared" si="64"/>
        <v>0</v>
      </c>
      <c r="AM134" s="120">
        <f t="shared" si="47"/>
        <v>0</v>
      </c>
      <c r="AN134" s="120">
        <v>0</v>
      </c>
      <c r="AO134" s="164">
        <f t="shared" si="48"/>
        <v>0</v>
      </c>
      <c r="AP134" s="150">
        <v>0</v>
      </c>
      <c r="AQ134" s="119">
        <f t="shared" si="49"/>
        <v>0</v>
      </c>
      <c r="AR134" s="150">
        <f t="shared" si="45"/>
        <v>0</v>
      </c>
      <c r="AS134" s="165">
        <f t="shared" si="50"/>
        <v>0</v>
      </c>
      <c r="AT134" s="181"/>
      <c r="AU134" s="167">
        <f t="shared" si="51"/>
        <v>0</v>
      </c>
      <c r="AV134" s="121"/>
      <c r="AW134" s="121"/>
      <c r="AX134" s="121"/>
      <c r="AY134" s="121"/>
      <c r="AZ134" s="121"/>
      <c r="BA134" s="121"/>
      <c r="BB134" s="121"/>
      <c r="BC134" s="121"/>
      <c r="BD134" s="121"/>
      <c r="BE134" s="121"/>
      <c r="BF134" s="121"/>
      <c r="BG134" s="121"/>
    </row>
    <row r="135" spans="1:59" ht="14.25" customHeight="1">
      <c r="A135" s="74" t="s">
        <v>102</v>
      </c>
      <c r="B135" s="75" t="s">
        <v>103</v>
      </c>
      <c r="C135" s="76">
        <v>4312242</v>
      </c>
      <c r="D135" s="77"/>
      <c r="E135" s="78"/>
      <c r="F135" s="79"/>
      <c r="G135" s="80">
        <f t="shared" si="16"/>
        <v>0</v>
      </c>
      <c r="H135" s="79"/>
      <c r="I135" s="80"/>
      <c r="J135" s="80"/>
      <c r="K135" s="80">
        <f t="shared" si="26"/>
        <v>0</v>
      </c>
      <c r="L135" s="79"/>
      <c r="M135" s="80">
        <f t="shared" si="32"/>
        <v>0</v>
      </c>
      <c r="N135" s="80"/>
      <c r="O135" s="80">
        <f t="shared" si="19"/>
        <v>0</v>
      </c>
      <c r="P135" s="79"/>
      <c r="Q135" s="80">
        <f t="shared" si="20"/>
        <v>0</v>
      </c>
      <c r="R135" s="80"/>
      <c r="S135" s="80">
        <f t="shared" si="21"/>
        <v>0</v>
      </c>
      <c r="T135" s="79"/>
      <c r="U135" s="80">
        <f t="shared" si="27"/>
        <v>0</v>
      </c>
      <c r="V135" s="80"/>
      <c r="W135" s="80">
        <f t="shared" si="22"/>
        <v>0</v>
      </c>
      <c r="X135" s="79"/>
      <c r="Y135" s="80">
        <f t="shared" si="67"/>
        <v>0</v>
      </c>
      <c r="Z135" s="80"/>
      <c r="AA135" s="80">
        <f t="shared" si="23"/>
        <v>0</v>
      </c>
      <c r="AB135" s="79"/>
      <c r="AC135" s="80">
        <f t="shared" si="29"/>
        <v>0</v>
      </c>
      <c r="AD135" s="80"/>
      <c r="AE135" s="80">
        <f t="shared" si="24"/>
        <v>0</v>
      </c>
      <c r="AF135" s="79"/>
      <c r="AG135" s="81">
        <f t="shared" si="33"/>
        <v>0</v>
      </c>
      <c r="AH135" s="216">
        <f>SUM(E136:E147)</f>
        <v>4312242</v>
      </c>
      <c r="AI135" s="219">
        <f>SUM(Y136:Y147)+SUM(AC136:AC147)+SUM(M136:M147)+SUM(G136:G147)+SUM(I136:I147)+SUM(Q136:Q147)+SUM(U136:U147)+SUM(AG136:AG147)</f>
        <v>301856.94</v>
      </c>
      <c r="AJ135" s="222">
        <f>AI135/AH135</f>
        <v>7.0000000000000007E-2</v>
      </c>
      <c r="AK135" s="17">
        <f t="shared" si="64"/>
        <v>0</v>
      </c>
      <c r="AL135" s="23">
        <f t="shared" si="64"/>
        <v>0</v>
      </c>
      <c r="AM135" s="4">
        <f t="shared" si="47"/>
        <v>0</v>
      </c>
      <c r="AN135" s="4">
        <v>0</v>
      </c>
      <c r="AO135" s="136">
        <f t="shared" si="48"/>
        <v>0</v>
      </c>
      <c r="AP135" s="17">
        <v>0</v>
      </c>
      <c r="AQ135" s="23">
        <f t="shared" si="49"/>
        <v>0</v>
      </c>
      <c r="AR135" s="17">
        <f t="shared" si="45"/>
        <v>0</v>
      </c>
      <c r="AS135" s="141">
        <f t="shared" si="50"/>
        <v>0</v>
      </c>
      <c r="AT135" s="158"/>
      <c r="AU135" s="146">
        <f t="shared" si="51"/>
        <v>0</v>
      </c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</row>
    <row r="136" spans="1:59" s="122" customFormat="1" ht="15" customHeight="1">
      <c r="A136" s="113">
        <v>1</v>
      </c>
      <c r="B136" s="114" t="s">
        <v>34</v>
      </c>
      <c r="C136" s="115"/>
      <c r="D136" s="116">
        <v>0.02</v>
      </c>
      <c r="E136" s="117">
        <f t="shared" ref="E136:E147" si="69">+D136*$C$135</f>
        <v>86244.84</v>
      </c>
      <c r="F136" s="116"/>
      <c r="G136" s="117">
        <f t="shared" si="16"/>
        <v>0</v>
      </c>
      <c r="H136" s="116"/>
      <c r="I136" s="117">
        <f t="shared" ref="I136:I147" si="70">+H136*$E136</f>
        <v>0</v>
      </c>
      <c r="J136" s="116">
        <v>1</v>
      </c>
      <c r="K136" s="117">
        <f t="shared" si="26"/>
        <v>86244.84</v>
      </c>
      <c r="L136" s="116">
        <v>1</v>
      </c>
      <c r="M136" s="117">
        <f t="shared" si="32"/>
        <v>86244.84</v>
      </c>
      <c r="N136" s="116"/>
      <c r="O136" s="117">
        <f t="shared" si="19"/>
        <v>0</v>
      </c>
      <c r="P136" s="116"/>
      <c r="Q136" s="117">
        <f t="shared" si="20"/>
        <v>0</v>
      </c>
      <c r="R136" s="116"/>
      <c r="S136" s="117">
        <f t="shared" si="21"/>
        <v>0</v>
      </c>
      <c r="T136" s="116"/>
      <c r="U136" s="117">
        <f t="shared" si="27"/>
        <v>0</v>
      </c>
      <c r="V136" s="116"/>
      <c r="W136" s="117">
        <f t="shared" si="22"/>
        <v>0</v>
      </c>
      <c r="X136" s="116"/>
      <c r="Y136" s="117">
        <f t="shared" si="67"/>
        <v>0</v>
      </c>
      <c r="Z136" s="116"/>
      <c r="AA136" s="117">
        <f t="shared" si="23"/>
        <v>0</v>
      </c>
      <c r="AB136" s="116"/>
      <c r="AC136" s="117">
        <f t="shared" si="29"/>
        <v>0</v>
      </c>
      <c r="AD136" s="116"/>
      <c r="AE136" s="117">
        <f t="shared" si="24"/>
        <v>0</v>
      </c>
      <c r="AF136" s="116"/>
      <c r="AG136" s="118">
        <f t="shared" si="33"/>
        <v>0</v>
      </c>
      <c r="AH136" s="217"/>
      <c r="AI136" s="220"/>
      <c r="AJ136" s="220"/>
      <c r="AK136" s="150">
        <f t="shared" ref="AK136:AL151" si="71">F136+H136+L136+P136+T136+X136+AB136+AF136</f>
        <v>1</v>
      </c>
      <c r="AL136" s="119">
        <f t="shared" si="71"/>
        <v>86244.84</v>
      </c>
      <c r="AM136" s="120">
        <f t="shared" si="47"/>
        <v>1</v>
      </c>
      <c r="AN136" s="120">
        <v>1</v>
      </c>
      <c r="AO136" s="164">
        <f t="shared" si="48"/>
        <v>0</v>
      </c>
      <c r="AP136" s="150">
        <v>1</v>
      </c>
      <c r="AQ136" s="119">
        <f t="shared" si="49"/>
        <v>86244.84</v>
      </c>
      <c r="AR136" s="150">
        <f t="shared" ref="AR136:AR199" si="72">AK136-AP136</f>
        <v>0</v>
      </c>
      <c r="AS136" s="165">
        <f t="shared" si="50"/>
        <v>0</v>
      </c>
      <c r="AT136" s="181"/>
      <c r="AU136" s="167">
        <f t="shared" si="51"/>
        <v>0</v>
      </c>
      <c r="AV136" s="121"/>
      <c r="AW136" s="121"/>
      <c r="AX136" s="121"/>
      <c r="AY136" s="121"/>
      <c r="AZ136" s="121"/>
      <c r="BA136" s="121"/>
      <c r="BB136" s="121"/>
      <c r="BC136" s="121"/>
      <c r="BD136" s="121"/>
      <c r="BE136" s="121"/>
      <c r="BF136" s="121"/>
      <c r="BG136" s="121"/>
    </row>
    <row r="137" spans="1:59" s="122" customFormat="1" ht="15" customHeight="1">
      <c r="A137" s="113">
        <v>2</v>
      </c>
      <c r="B137" s="114" t="s">
        <v>47</v>
      </c>
      <c r="C137" s="115"/>
      <c r="D137" s="116">
        <v>0.05</v>
      </c>
      <c r="E137" s="117">
        <f t="shared" si="69"/>
        <v>215612.1</v>
      </c>
      <c r="F137" s="116"/>
      <c r="G137" s="117">
        <f t="shared" si="16"/>
        <v>0</v>
      </c>
      <c r="H137" s="116"/>
      <c r="I137" s="117">
        <f t="shared" si="70"/>
        <v>0</v>
      </c>
      <c r="J137" s="116"/>
      <c r="K137" s="117">
        <f t="shared" si="26"/>
        <v>0</v>
      </c>
      <c r="L137" s="116"/>
      <c r="M137" s="117">
        <f t="shared" si="32"/>
        <v>0</v>
      </c>
      <c r="N137" s="116"/>
      <c r="O137" s="117">
        <f t="shared" si="19"/>
        <v>0</v>
      </c>
      <c r="P137" s="116"/>
      <c r="Q137" s="117">
        <f t="shared" si="20"/>
        <v>0</v>
      </c>
      <c r="R137" s="116">
        <v>1</v>
      </c>
      <c r="S137" s="117">
        <f t="shared" si="21"/>
        <v>215612.1</v>
      </c>
      <c r="T137" s="116">
        <v>1</v>
      </c>
      <c r="U137" s="117">
        <f t="shared" si="27"/>
        <v>215612.1</v>
      </c>
      <c r="V137" s="116"/>
      <c r="W137" s="117">
        <f t="shared" si="22"/>
        <v>0</v>
      </c>
      <c r="X137" s="116"/>
      <c r="Y137" s="117">
        <f t="shared" si="67"/>
        <v>0</v>
      </c>
      <c r="Z137" s="116"/>
      <c r="AA137" s="117">
        <f t="shared" si="23"/>
        <v>0</v>
      </c>
      <c r="AB137" s="116"/>
      <c r="AC137" s="117">
        <f t="shared" si="29"/>
        <v>0</v>
      </c>
      <c r="AD137" s="116"/>
      <c r="AE137" s="117">
        <f t="shared" si="24"/>
        <v>0</v>
      </c>
      <c r="AF137" s="116"/>
      <c r="AG137" s="118">
        <f t="shared" si="33"/>
        <v>0</v>
      </c>
      <c r="AH137" s="217"/>
      <c r="AI137" s="220"/>
      <c r="AJ137" s="220"/>
      <c r="AK137" s="150">
        <f t="shared" si="71"/>
        <v>1</v>
      </c>
      <c r="AL137" s="119">
        <f t="shared" si="71"/>
        <v>215612.1</v>
      </c>
      <c r="AM137" s="120">
        <f t="shared" ref="AM137:AM200" si="73">F137+H137+L137+P137+T137+X137+AB137+AF137</f>
        <v>1</v>
      </c>
      <c r="AN137" s="120">
        <v>1</v>
      </c>
      <c r="AO137" s="164">
        <f t="shared" ref="AO137:AO200" si="74">AM137-AN137</f>
        <v>0</v>
      </c>
      <c r="AP137" s="150">
        <v>0</v>
      </c>
      <c r="AQ137" s="119">
        <f t="shared" ref="AQ137:AQ200" si="75">AP137*E137</f>
        <v>0</v>
      </c>
      <c r="AR137" s="150">
        <f t="shared" si="72"/>
        <v>1</v>
      </c>
      <c r="AS137" s="165">
        <f t="shared" ref="AS137:AS200" si="76">AR137*E137</f>
        <v>215612.1</v>
      </c>
      <c r="AT137" s="181">
        <f t="shared" ref="AT137:AT138" si="77">100%-AK137</f>
        <v>0</v>
      </c>
      <c r="AU137" s="167">
        <f t="shared" ref="AU137:AU200" si="78">AT137*E137</f>
        <v>0</v>
      </c>
      <c r="AV137" s="121"/>
      <c r="AW137" s="121"/>
      <c r="AX137" s="121"/>
      <c r="AY137" s="121"/>
      <c r="AZ137" s="121"/>
      <c r="BA137" s="121"/>
      <c r="BB137" s="121"/>
      <c r="BC137" s="121"/>
      <c r="BD137" s="121"/>
      <c r="BE137" s="121"/>
      <c r="BF137" s="121"/>
      <c r="BG137" s="121"/>
    </row>
    <row r="138" spans="1:59" s="122" customFormat="1" ht="14.25" customHeight="1">
      <c r="A138" s="113">
        <v>3</v>
      </c>
      <c r="B138" s="114" t="s">
        <v>48</v>
      </c>
      <c r="C138" s="115"/>
      <c r="D138" s="116">
        <v>0.08</v>
      </c>
      <c r="E138" s="117">
        <f t="shared" si="69"/>
        <v>344979.36</v>
      </c>
      <c r="F138" s="116"/>
      <c r="G138" s="117">
        <f t="shared" si="16"/>
        <v>0</v>
      </c>
      <c r="H138" s="116"/>
      <c r="I138" s="117">
        <f t="shared" si="70"/>
        <v>0</v>
      </c>
      <c r="J138" s="116"/>
      <c r="K138" s="117">
        <f t="shared" si="26"/>
        <v>0</v>
      </c>
      <c r="L138" s="116"/>
      <c r="M138" s="117">
        <f t="shared" si="32"/>
        <v>0</v>
      </c>
      <c r="N138" s="116"/>
      <c r="O138" s="117">
        <f t="shared" si="19"/>
        <v>0</v>
      </c>
      <c r="P138" s="116"/>
      <c r="Q138" s="117">
        <f t="shared" si="20"/>
        <v>0</v>
      </c>
      <c r="R138" s="116">
        <v>1</v>
      </c>
      <c r="S138" s="117">
        <f t="shared" si="21"/>
        <v>344979.36</v>
      </c>
      <c r="T138" s="116"/>
      <c r="U138" s="117">
        <f t="shared" si="27"/>
        <v>0</v>
      </c>
      <c r="V138" s="116"/>
      <c r="W138" s="117">
        <f t="shared" si="22"/>
        <v>0</v>
      </c>
      <c r="X138" s="116"/>
      <c r="Y138" s="117">
        <f t="shared" si="67"/>
        <v>0</v>
      </c>
      <c r="Z138" s="116"/>
      <c r="AA138" s="117">
        <f t="shared" si="23"/>
        <v>0</v>
      </c>
      <c r="AB138" s="116"/>
      <c r="AC138" s="117">
        <f t="shared" si="29"/>
        <v>0</v>
      </c>
      <c r="AD138" s="116"/>
      <c r="AE138" s="117">
        <f t="shared" si="24"/>
        <v>0</v>
      </c>
      <c r="AF138" s="116"/>
      <c r="AG138" s="118">
        <f t="shared" si="33"/>
        <v>0</v>
      </c>
      <c r="AH138" s="217"/>
      <c r="AI138" s="220"/>
      <c r="AJ138" s="220"/>
      <c r="AK138" s="150">
        <f t="shared" si="71"/>
        <v>0</v>
      </c>
      <c r="AL138" s="119">
        <f t="shared" si="71"/>
        <v>0</v>
      </c>
      <c r="AM138" s="120">
        <f t="shared" si="73"/>
        <v>0</v>
      </c>
      <c r="AN138" s="120">
        <v>0</v>
      </c>
      <c r="AO138" s="164">
        <f t="shared" si="74"/>
        <v>0</v>
      </c>
      <c r="AP138" s="150">
        <v>0</v>
      </c>
      <c r="AQ138" s="119">
        <f t="shared" si="75"/>
        <v>0</v>
      </c>
      <c r="AR138" s="150">
        <f t="shared" si="72"/>
        <v>0</v>
      </c>
      <c r="AS138" s="165">
        <f t="shared" si="76"/>
        <v>0</v>
      </c>
      <c r="AT138" s="181">
        <f t="shared" si="77"/>
        <v>1</v>
      </c>
      <c r="AU138" s="167">
        <f t="shared" si="78"/>
        <v>344979.36</v>
      </c>
      <c r="AV138" s="121"/>
      <c r="AW138" s="121"/>
      <c r="AX138" s="121"/>
      <c r="AY138" s="121"/>
      <c r="AZ138" s="121"/>
      <c r="BA138" s="121"/>
      <c r="BB138" s="121"/>
      <c r="BC138" s="121"/>
      <c r="BD138" s="121"/>
      <c r="BE138" s="121"/>
      <c r="BF138" s="121"/>
      <c r="BG138" s="121"/>
    </row>
    <row r="139" spans="1:59" s="122" customFormat="1" ht="15" customHeight="1">
      <c r="A139" s="113">
        <v>4</v>
      </c>
      <c r="B139" s="114" t="s">
        <v>95</v>
      </c>
      <c r="C139" s="115"/>
      <c r="D139" s="116">
        <v>0.1</v>
      </c>
      <c r="E139" s="117">
        <f t="shared" si="69"/>
        <v>431224.2</v>
      </c>
      <c r="F139" s="116"/>
      <c r="G139" s="117">
        <f t="shared" si="16"/>
        <v>0</v>
      </c>
      <c r="H139" s="116"/>
      <c r="I139" s="117">
        <f t="shared" si="70"/>
        <v>0</v>
      </c>
      <c r="J139" s="116"/>
      <c r="K139" s="117">
        <f t="shared" si="26"/>
        <v>0</v>
      </c>
      <c r="L139" s="116"/>
      <c r="M139" s="117">
        <f t="shared" si="32"/>
        <v>0</v>
      </c>
      <c r="N139" s="116"/>
      <c r="O139" s="117">
        <f t="shared" si="19"/>
        <v>0</v>
      </c>
      <c r="P139" s="116"/>
      <c r="Q139" s="117">
        <f t="shared" si="20"/>
        <v>0</v>
      </c>
      <c r="R139" s="116">
        <v>0.75</v>
      </c>
      <c r="S139" s="117">
        <f t="shared" si="21"/>
        <v>323418.15000000002</v>
      </c>
      <c r="T139" s="116"/>
      <c r="U139" s="117">
        <f t="shared" si="27"/>
        <v>0</v>
      </c>
      <c r="V139" s="116">
        <v>0.25</v>
      </c>
      <c r="W139" s="117">
        <f t="shared" si="22"/>
        <v>107806.05</v>
      </c>
      <c r="X139" s="116"/>
      <c r="Y139" s="117">
        <f t="shared" si="67"/>
        <v>0</v>
      </c>
      <c r="Z139" s="116"/>
      <c r="AA139" s="117">
        <f t="shared" si="23"/>
        <v>0</v>
      </c>
      <c r="AB139" s="116"/>
      <c r="AC139" s="117">
        <f t="shared" si="29"/>
        <v>0</v>
      </c>
      <c r="AD139" s="116"/>
      <c r="AE139" s="117">
        <f t="shared" si="24"/>
        <v>0</v>
      </c>
      <c r="AF139" s="116"/>
      <c r="AG139" s="118">
        <f t="shared" si="33"/>
        <v>0</v>
      </c>
      <c r="AH139" s="217"/>
      <c r="AI139" s="220"/>
      <c r="AJ139" s="220"/>
      <c r="AK139" s="150">
        <f t="shared" si="71"/>
        <v>0</v>
      </c>
      <c r="AL139" s="119">
        <f t="shared" si="71"/>
        <v>0</v>
      </c>
      <c r="AM139" s="120">
        <f t="shared" si="73"/>
        <v>0</v>
      </c>
      <c r="AN139" s="120">
        <v>0</v>
      </c>
      <c r="AO139" s="164">
        <f t="shared" si="74"/>
        <v>0</v>
      </c>
      <c r="AP139" s="150">
        <v>0</v>
      </c>
      <c r="AQ139" s="119">
        <f t="shared" si="75"/>
        <v>0</v>
      </c>
      <c r="AR139" s="150">
        <f t="shared" si="72"/>
        <v>0</v>
      </c>
      <c r="AS139" s="165">
        <f t="shared" si="76"/>
        <v>0</v>
      </c>
      <c r="AT139" s="181"/>
      <c r="AU139" s="167">
        <f t="shared" si="78"/>
        <v>0</v>
      </c>
      <c r="AV139" s="121"/>
      <c r="AW139" s="121"/>
      <c r="AX139" s="121"/>
      <c r="AY139" s="121"/>
      <c r="AZ139" s="121"/>
      <c r="BA139" s="121"/>
      <c r="BB139" s="121"/>
      <c r="BC139" s="121"/>
      <c r="BD139" s="121"/>
      <c r="BE139" s="121"/>
      <c r="BF139" s="121"/>
      <c r="BG139" s="121"/>
    </row>
    <row r="140" spans="1:59" s="122" customFormat="1" ht="15" customHeight="1">
      <c r="A140" s="113">
        <v>5</v>
      </c>
      <c r="B140" s="114" t="s">
        <v>104</v>
      </c>
      <c r="C140" s="115"/>
      <c r="D140" s="116">
        <v>0.1</v>
      </c>
      <c r="E140" s="117">
        <f t="shared" si="69"/>
        <v>431224.2</v>
      </c>
      <c r="F140" s="116"/>
      <c r="G140" s="117">
        <f t="shared" si="16"/>
        <v>0</v>
      </c>
      <c r="H140" s="116"/>
      <c r="I140" s="117">
        <f t="shared" si="70"/>
        <v>0</v>
      </c>
      <c r="J140" s="116"/>
      <c r="K140" s="117">
        <f t="shared" si="26"/>
        <v>0</v>
      </c>
      <c r="L140" s="116"/>
      <c r="M140" s="117">
        <f t="shared" si="32"/>
        <v>0</v>
      </c>
      <c r="N140" s="116"/>
      <c r="O140" s="117">
        <f t="shared" si="19"/>
        <v>0</v>
      </c>
      <c r="P140" s="116"/>
      <c r="Q140" s="117">
        <f t="shared" si="20"/>
        <v>0</v>
      </c>
      <c r="R140" s="116"/>
      <c r="S140" s="117">
        <f t="shared" si="21"/>
        <v>0</v>
      </c>
      <c r="T140" s="116"/>
      <c r="U140" s="117">
        <f t="shared" si="27"/>
        <v>0</v>
      </c>
      <c r="V140" s="116">
        <v>1</v>
      </c>
      <c r="W140" s="117">
        <f t="shared" si="22"/>
        <v>431224.2</v>
      </c>
      <c r="X140" s="116"/>
      <c r="Y140" s="117">
        <f t="shared" si="67"/>
        <v>0</v>
      </c>
      <c r="Z140" s="116"/>
      <c r="AA140" s="117">
        <f t="shared" si="23"/>
        <v>0</v>
      </c>
      <c r="AB140" s="116"/>
      <c r="AC140" s="117">
        <f t="shared" si="29"/>
        <v>0</v>
      </c>
      <c r="AD140" s="116"/>
      <c r="AE140" s="117">
        <f t="shared" si="24"/>
        <v>0</v>
      </c>
      <c r="AF140" s="116"/>
      <c r="AG140" s="118">
        <f t="shared" si="33"/>
        <v>0</v>
      </c>
      <c r="AH140" s="217"/>
      <c r="AI140" s="220"/>
      <c r="AJ140" s="220"/>
      <c r="AK140" s="150">
        <f t="shared" si="71"/>
        <v>0</v>
      </c>
      <c r="AL140" s="119">
        <f t="shared" si="71"/>
        <v>0</v>
      </c>
      <c r="AM140" s="120">
        <f t="shared" si="73"/>
        <v>0</v>
      </c>
      <c r="AN140" s="120">
        <v>0</v>
      </c>
      <c r="AO140" s="164">
        <f t="shared" si="74"/>
        <v>0</v>
      </c>
      <c r="AP140" s="150">
        <v>0</v>
      </c>
      <c r="AQ140" s="119">
        <f t="shared" si="75"/>
        <v>0</v>
      </c>
      <c r="AR140" s="150">
        <f t="shared" si="72"/>
        <v>0</v>
      </c>
      <c r="AS140" s="165">
        <f t="shared" si="76"/>
        <v>0</v>
      </c>
      <c r="AT140" s="181"/>
      <c r="AU140" s="167">
        <f t="shared" si="78"/>
        <v>0</v>
      </c>
      <c r="AV140" s="121"/>
      <c r="AW140" s="121"/>
      <c r="AX140" s="121"/>
      <c r="AY140" s="121"/>
      <c r="AZ140" s="121"/>
      <c r="BA140" s="121"/>
      <c r="BB140" s="121"/>
      <c r="BC140" s="121"/>
      <c r="BD140" s="121"/>
      <c r="BE140" s="121"/>
      <c r="BF140" s="121"/>
      <c r="BG140" s="121"/>
    </row>
    <row r="141" spans="1:59" s="122" customFormat="1" ht="15" customHeight="1">
      <c r="A141" s="113">
        <v>6</v>
      </c>
      <c r="B141" s="114" t="s">
        <v>105</v>
      </c>
      <c r="C141" s="115"/>
      <c r="D141" s="116">
        <v>0.15</v>
      </c>
      <c r="E141" s="117">
        <f t="shared" si="69"/>
        <v>646836.29999999993</v>
      </c>
      <c r="F141" s="116"/>
      <c r="G141" s="117">
        <f t="shared" si="16"/>
        <v>0</v>
      </c>
      <c r="H141" s="116"/>
      <c r="I141" s="117">
        <f t="shared" si="70"/>
        <v>0</v>
      </c>
      <c r="J141" s="116"/>
      <c r="K141" s="117">
        <f t="shared" si="26"/>
        <v>0</v>
      </c>
      <c r="L141" s="116"/>
      <c r="M141" s="117">
        <f t="shared" si="32"/>
        <v>0</v>
      </c>
      <c r="N141" s="116"/>
      <c r="O141" s="117">
        <f t="shared" si="19"/>
        <v>0</v>
      </c>
      <c r="P141" s="116"/>
      <c r="Q141" s="117">
        <f t="shared" si="20"/>
        <v>0</v>
      </c>
      <c r="R141" s="116"/>
      <c r="S141" s="117">
        <f t="shared" si="21"/>
        <v>0</v>
      </c>
      <c r="T141" s="116"/>
      <c r="U141" s="117">
        <f t="shared" si="27"/>
        <v>0</v>
      </c>
      <c r="V141" s="116">
        <v>1</v>
      </c>
      <c r="W141" s="117">
        <f t="shared" si="22"/>
        <v>646836.29999999993</v>
      </c>
      <c r="X141" s="116"/>
      <c r="Y141" s="117">
        <f t="shared" si="67"/>
        <v>0</v>
      </c>
      <c r="Z141" s="116"/>
      <c r="AA141" s="117">
        <f t="shared" si="23"/>
        <v>0</v>
      </c>
      <c r="AB141" s="116"/>
      <c r="AC141" s="117">
        <f t="shared" si="29"/>
        <v>0</v>
      </c>
      <c r="AD141" s="116"/>
      <c r="AE141" s="117">
        <f t="shared" si="24"/>
        <v>0</v>
      </c>
      <c r="AF141" s="116"/>
      <c r="AG141" s="118">
        <f t="shared" si="33"/>
        <v>0</v>
      </c>
      <c r="AH141" s="217"/>
      <c r="AI141" s="220"/>
      <c r="AJ141" s="220"/>
      <c r="AK141" s="150">
        <f t="shared" si="71"/>
        <v>0</v>
      </c>
      <c r="AL141" s="119">
        <f t="shared" si="71"/>
        <v>0</v>
      </c>
      <c r="AM141" s="120">
        <f t="shared" si="73"/>
        <v>0</v>
      </c>
      <c r="AN141" s="120">
        <v>0</v>
      </c>
      <c r="AO141" s="164">
        <f t="shared" si="74"/>
        <v>0</v>
      </c>
      <c r="AP141" s="150">
        <v>0</v>
      </c>
      <c r="AQ141" s="119">
        <f t="shared" si="75"/>
        <v>0</v>
      </c>
      <c r="AR141" s="150">
        <f t="shared" si="72"/>
        <v>0</v>
      </c>
      <c r="AS141" s="165">
        <f t="shared" si="76"/>
        <v>0</v>
      </c>
      <c r="AT141" s="181"/>
      <c r="AU141" s="167">
        <f t="shared" si="78"/>
        <v>0</v>
      </c>
      <c r="AV141" s="121"/>
      <c r="AW141" s="121"/>
      <c r="AX141" s="121"/>
      <c r="AY141" s="121"/>
      <c r="AZ141" s="121"/>
      <c r="BA141" s="121"/>
      <c r="BB141" s="121"/>
      <c r="BC141" s="121"/>
      <c r="BD141" s="121"/>
      <c r="BE141" s="121"/>
      <c r="BF141" s="121"/>
      <c r="BG141" s="121"/>
    </row>
    <row r="142" spans="1:59" s="122" customFormat="1" ht="15" customHeight="1">
      <c r="A142" s="113">
        <v>7</v>
      </c>
      <c r="B142" s="114" t="s">
        <v>106</v>
      </c>
      <c r="C142" s="115"/>
      <c r="D142" s="116">
        <v>0.1</v>
      </c>
      <c r="E142" s="117">
        <f t="shared" si="69"/>
        <v>431224.2</v>
      </c>
      <c r="F142" s="116"/>
      <c r="G142" s="117">
        <f t="shared" si="16"/>
        <v>0</v>
      </c>
      <c r="H142" s="116"/>
      <c r="I142" s="117">
        <f t="shared" si="70"/>
        <v>0</v>
      </c>
      <c r="J142" s="116"/>
      <c r="K142" s="117">
        <f t="shared" si="26"/>
        <v>0</v>
      </c>
      <c r="L142" s="116"/>
      <c r="M142" s="117">
        <f t="shared" si="32"/>
        <v>0</v>
      </c>
      <c r="N142" s="116"/>
      <c r="O142" s="117">
        <f t="shared" si="19"/>
        <v>0</v>
      </c>
      <c r="P142" s="116"/>
      <c r="Q142" s="117">
        <f t="shared" si="20"/>
        <v>0</v>
      </c>
      <c r="R142" s="116"/>
      <c r="S142" s="117">
        <f t="shared" si="21"/>
        <v>0</v>
      </c>
      <c r="T142" s="116"/>
      <c r="U142" s="117">
        <f t="shared" si="27"/>
        <v>0</v>
      </c>
      <c r="V142" s="116"/>
      <c r="W142" s="117">
        <f t="shared" si="22"/>
        <v>0</v>
      </c>
      <c r="X142" s="116"/>
      <c r="Y142" s="117">
        <f t="shared" si="67"/>
        <v>0</v>
      </c>
      <c r="Z142" s="116">
        <v>1</v>
      </c>
      <c r="AA142" s="117">
        <f t="shared" si="23"/>
        <v>431224.2</v>
      </c>
      <c r="AB142" s="116"/>
      <c r="AC142" s="117">
        <f t="shared" si="29"/>
        <v>0</v>
      </c>
      <c r="AD142" s="116"/>
      <c r="AE142" s="117">
        <f t="shared" si="24"/>
        <v>0</v>
      </c>
      <c r="AF142" s="116"/>
      <c r="AG142" s="118">
        <f t="shared" si="33"/>
        <v>0</v>
      </c>
      <c r="AH142" s="217"/>
      <c r="AI142" s="220"/>
      <c r="AJ142" s="220"/>
      <c r="AK142" s="150">
        <f t="shared" si="71"/>
        <v>0</v>
      </c>
      <c r="AL142" s="119">
        <f t="shared" si="71"/>
        <v>0</v>
      </c>
      <c r="AM142" s="120">
        <f t="shared" si="73"/>
        <v>0</v>
      </c>
      <c r="AN142" s="120">
        <v>0</v>
      </c>
      <c r="AO142" s="164">
        <f t="shared" si="74"/>
        <v>0</v>
      </c>
      <c r="AP142" s="150">
        <v>0</v>
      </c>
      <c r="AQ142" s="119">
        <f t="shared" si="75"/>
        <v>0</v>
      </c>
      <c r="AR142" s="150">
        <f t="shared" si="72"/>
        <v>0</v>
      </c>
      <c r="AS142" s="165">
        <f t="shared" si="76"/>
        <v>0</v>
      </c>
      <c r="AT142" s="181"/>
      <c r="AU142" s="167">
        <f t="shared" si="78"/>
        <v>0</v>
      </c>
      <c r="AV142" s="121"/>
      <c r="AW142" s="121"/>
      <c r="AX142" s="121"/>
      <c r="AY142" s="121"/>
      <c r="AZ142" s="121"/>
      <c r="BA142" s="121"/>
      <c r="BB142" s="121"/>
      <c r="BC142" s="121"/>
      <c r="BD142" s="121"/>
      <c r="BE142" s="121"/>
      <c r="BF142" s="121"/>
      <c r="BG142" s="121"/>
    </row>
    <row r="143" spans="1:59" s="122" customFormat="1" ht="15" customHeight="1">
      <c r="A143" s="113">
        <f t="shared" ref="A143:A147" si="79">A142+1</f>
        <v>8</v>
      </c>
      <c r="B143" s="114" t="s">
        <v>56</v>
      </c>
      <c r="C143" s="115"/>
      <c r="D143" s="116">
        <v>0.15</v>
      </c>
      <c r="E143" s="117">
        <f t="shared" si="69"/>
        <v>646836.29999999993</v>
      </c>
      <c r="F143" s="116"/>
      <c r="G143" s="117">
        <f t="shared" si="16"/>
        <v>0</v>
      </c>
      <c r="H143" s="116"/>
      <c r="I143" s="117">
        <f t="shared" si="70"/>
        <v>0</v>
      </c>
      <c r="J143" s="116"/>
      <c r="K143" s="117">
        <f t="shared" si="26"/>
        <v>0</v>
      </c>
      <c r="L143" s="116"/>
      <c r="M143" s="117">
        <f t="shared" si="32"/>
        <v>0</v>
      </c>
      <c r="N143" s="116"/>
      <c r="O143" s="117">
        <f t="shared" si="19"/>
        <v>0</v>
      </c>
      <c r="P143" s="116"/>
      <c r="Q143" s="117">
        <f t="shared" si="20"/>
        <v>0</v>
      </c>
      <c r="R143" s="116"/>
      <c r="S143" s="117">
        <f t="shared" si="21"/>
        <v>0</v>
      </c>
      <c r="T143" s="116"/>
      <c r="U143" s="117">
        <f t="shared" si="27"/>
        <v>0</v>
      </c>
      <c r="V143" s="116"/>
      <c r="W143" s="117">
        <f t="shared" si="22"/>
        <v>0</v>
      </c>
      <c r="X143" s="116"/>
      <c r="Y143" s="117">
        <f t="shared" si="67"/>
        <v>0</v>
      </c>
      <c r="Z143" s="116">
        <v>1</v>
      </c>
      <c r="AA143" s="117">
        <f t="shared" si="23"/>
        <v>646836.29999999993</v>
      </c>
      <c r="AB143" s="116"/>
      <c r="AC143" s="117">
        <f t="shared" si="29"/>
        <v>0</v>
      </c>
      <c r="AD143" s="116"/>
      <c r="AE143" s="117">
        <f t="shared" si="24"/>
        <v>0</v>
      </c>
      <c r="AF143" s="116"/>
      <c r="AG143" s="118">
        <f t="shared" si="33"/>
        <v>0</v>
      </c>
      <c r="AH143" s="217"/>
      <c r="AI143" s="220"/>
      <c r="AJ143" s="220"/>
      <c r="AK143" s="150">
        <f t="shared" si="71"/>
        <v>0</v>
      </c>
      <c r="AL143" s="119">
        <f t="shared" si="71"/>
        <v>0</v>
      </c>
      <c r="AM143" s="120">
        <f t="shared" si="73"/>
        <v>0</v>
      </c>
      <c r="AN143" s="120">
        <v>0</v>
      </c>
      <c r="AO143" s="164">
        <f t="shared" si="74"/>
        <v>0</v>
      </c>
      <c r="AP143" s="150">
        <v>0</v>
      </c>
      <c r="AQ143" s="119">
        <f t="shared" si="75"/>
        <v>0</v>
      </c>
      <c r="AR143" s="150">
        <f t="shared" si="72"/>
        <v>0</v>
      </c>
      <c r="AS143" s="165">
        <f t="shared" si="76"/>
        <v>0</v>
      </c>
      <c r="AT143" s="181"/>
      <c r="AU143" s="167">
        <f t="shared" si="78"/>
        <v>0</v>
      </c>
      <c r="AV143" s="121"/>
      <c r="AW143" s="121"/>
      <c r="AX143" s="121"/>
      <c r="AY143" s="121"/>
      <c r="AZ143" s="121"/>
      <c r="BA143" s="121"/>
      <c r="BB143" s="121"/>
      <c r="BC143" s="121"/>
      <c r="BD143" s="121"/>
      <c r="BE143" s="121"/>
      <c r="BF143" s="121"/>
      <c r="BG143" s="121"/>
    </row>
    <row r="144" spans="1:59" s="122" customFormat="1" ht="15" customHeight="1">
      <c r="A144" s="113">
        <f t="shared" si="79"/>
        <v>9</v>
      </c>
      <c r="B144" s="114" t="s">
        <v>57</v>
      </c>
      <c r="C144" s="115"/>
      <c r="D144" s="116">
        <v>0.1</v>
      </c>
      <c r="E144" s="117">
        <f t="shared" si="69"/>
        <v>431224.2</v>
      </c>
      <c r="F144" s="116"/>
      <c r="G144" s="117">
        <f t="shared" si="16"/>
        <v>0</v>
      </c>
      <c r="H144" s="116"/>
      <c r="I144" s="117">
        <f t="shared" si="70"/>
        <v>0</v>
      </c>
      <c r="J144" s="116"/>
      <c r="K144" s="117">
        <f t="shared" si="26"/>
        <v>0</v>
      </c>
      <c r="L144" s="116"/>
      <c r="M144" s="117">
        <f t="shared" si="32"/>
        <v>0</v>
      </c>
      <c r="N144" s="116"/>
      <c r="O144" s="117">
        <f t="shared" si="19"/>
        <v>0</v>
      </c>
      <c r="P144" s="116"/>
      <c r="Q144" s="117">
        <f t="shared" si="20"/>
        <v>0</v>
      </c>
      <c r="R144" s="116"/>
      <c r="S144" s="117">
        <f t="shared" si="21"/>
        <v>0</v>
      </c>
      <c r="T144" s="116"/>
      <c r="U144" s="117">
        <f t="shared" si="27"/>
        <v>0</v>
      </c>
      <c r="V144" s="116"/>
      <c r="W144" s="117">
        <f t="shared" si="22"/>
        <v>0</v>
      </c>
      <c r="X144" s="116"/>
      <c r="Y144" s="117">
        <f t="shared" si="67"/>
        <v>0</v>
      </c>
      <c r="Z144" s="116"/>
      <c r="AA144" s="117">
        <f t="shared" si="23"/>
        <v>0</v>
      </c>
      <c r="AB144" s="116"/>
      <c r="AC144" s="117">
        <f t="shared" si="29"/>
        <v>0</v>
      </c>
      <c r="AD144" s="116">
        <v>1</v>
      </c>
      <c r="AE144" s="117">
        <f t="shared" si="24"/>
        <v>431224.2</v>
      </c>
      <c r="AF144" s="116"/>
      <c r="AG144" s="118">
        <f t="shared" si="33"/>
        <v>0</v>
      </c>
      <c r="AH144" s="217"/>
      <c r="AI144" s="220"/>
      <c r="AJ144" s="220"/>
      <c r="AK144" s="150">
        <f t="shared" si="71"/>
        <v>0</v>
      </c>
      <c r="AL144" s="119">
        <f t="shared" si="71"/>
        <v>0</v>
      </c>
      <c r="AM144" s="120">
        <f t="shared" si="73"/>
        <v>0</v>
      </c>
      <c r="AN144" s="120">
        <v>0</v>
      </c>
      <c r="AO144" s="164">
        <f t="shared" si="74"/>
        <v>0</v>
      </c>
      <c r="AP144" s="150">
        <v>0</v>
      </c>
      <c r="AQ144" s="119">
        <f t="shared" si="75"/>
        <v>0</v>
      </c>
      <c r="AR144" s="150">
        <f t="shared" si="72"/>
        <v>0</v>
      </c>
      <c r="AS144" s="165">
        <f t="shared" si="76"/>
        <v>0</v>
      </c>
      <c r="AT144" s="181"/>
      <c r="AU144" s="167">
        <f t="shared" si="78"/>
        <v>0</v>
      </c>
      <c r="AV144" s="121"/>
      <c r="AW144" s="121"/>
      <c r="AX144" s="121"/>
      <c r="AY144" s="121"/>
      <c r="AZ144" s="121"/>
      <c r="BA144" s="121"/>
      <c r="BB144" s="121"/>
      <c r="BC144" s="121"/>
      <c r="BD144" s="121"/>
      <c r="BE144" s="121"/>
      <c r="BF144" s="121"/>
      <c r="BG144" s="121"/>
    </row>
    <row r="145" spans="1:59" s="122" customFormat="1" ht="15" customHeight="1">
      <c r="A145" s="113">
        <f t="shared" si="79"/>
        <v>10</v>
      </c>
      <c r="B145" s="114" t="s">
        <v>58</v>
      </c>
      <c r="C145" s="115"/>
      <c r="D145" s="116">
        <v>0.05</v>
      </c>
      <c r="E145" s="117">
        <f t="shared" si="69"/>
        <v>215612.1</v>
      </c>
      <c r="F145" s="116"/>
      <c r="G145" s="117">
        <f t="shared" si="16"/>
        <v>0</v>
      </c>
      <c r="H145" s="116"/>
      <c r="I145" s="117">
        <f t="shared" si="70"/>
        <v>0</v>
      </c>
      <c r="J145" s="116"/>
      <c r="K145" s="117">
        <f t="shared" si="26"/>
        <v>0</v>
      </c>
      <c r="L145" s="116"/>
      <c r="M145" s="117">
        <f t="shared" si="32"/>
        <v>0</v>
      </c>
      <c r="N145" s="116"/>
      <c r="O145" s="117">
        <f t="shared" si="19"/>
        <v>0</v>
      </c>
      <c r="P145" s="116"/>
      <c r="Q145" s="117">
        <f t="shared" si="20"/>
        <v>0</v>
      </c>
      <c r="R145" s="116"/>
      <c r="S145" s="117">
        <f t="shared" si="21"/>
        <v>0</v>
      </c>
      <c r="T145" s="116"/>
      <c r="U145" s="117">
        <f t="shared" si="27"/>
        <v>0</v>
      </c>
      <c r="V145" s="116"/>
      <c r="W145" s="117">
        <f t="shared" si="22"/>
        <v>0</v>
      </c>
      <c r="X145" s="116"/>
      <c r="Y145" s="117">
        <f t="shared" si="67"/>
        <v>0</v>
      </c>
      <c r="Z145" s="116"/>
      <c r="AA145" s="117">
        <f t="shared" si="23"/>
        <v>0</v>
      </c>
      <c r="AB145" s="116"/>
      <c r="AC145" s="117">
        <f t="shared" si="29"/>
        <v>0</v>
      </c>
      <c r="AD145" s="116">
        <v>1</v>
      </c>
      <c r="AE145" s="117">
        <f t="shared" si="24"/>
        <v>215612.1</v>
      </c>
      <c r="AF145" s="116"/>
      <c r="AG145" s="118">
        <f t="shared" si="33"/>
        <v>0</v>
      </c>
      <c r="AH145" s="217"/>
      <c r="AI145" s="220"/>
      <c r="AJ145" s="220"/>
      <c r="AK145" s="150">
        <f t="shared" si="71"/>
        <v>0</v>
      </c>
      <c r="AL145" s="119">
        <f t="shared" si="71"/>
        <v>0</v>
      </c>
      <c r="AM145" s="120">
        <f t="shared" si="73"/>
        <v>0</v>
      </c>
      <c r="AN145" s="120">
        <v>0</v>
      </c>
      <c r="AO145" s="164">
        <f t="shared" si="74"/>
        <v>0</v>
      </c>
      <c r="AP145" s="150">
        <v>0</v>
      </c>
      <c r="AQ145" s="119">
        <f t="shared" si="75"/>
        <v>0</v>
      </c>
      <c r="AR145" s="150">
        <f t="shared" si="72"/>
        <v>0</v>
      </c>
      <c r="AS145" s="165">
        <f t="shared" si="76"/>
        <v>0</v>
      </c>
      <c r="AT145" s="166"/>
      <c r="AU145" s="167">
        <f t="shared" si="78"/>
        <v>0</v>
      </c>
      <c r="AV145" s="124"/>
      <c r="AW145" s="124"/>
      <c r="AX145" s="124"/>
      <c r="AY145" s="124"/>
      <c r="AZ145" s="124"/>
      <c r="BA145" s="124"/>
      <c r="BB145" s="124"/>
      <c r="BC145" s="124"/>
      <c r="BD145" s="124"/>
      <c r="BE145" s="124"/>
      <c r="BF145" s="124"/>
      <c r="BG145" s="124"/>
    </row>
    <row r="146" spans="1:59" s="122" customFormat="1" ht="15" customHeight="1">
      <c r="A146" s="113">
        <f t="shared" si="79"/>
        <v>11</v>
      </c>
      <c r="B146" s="114" t="s">
        <v>107</v>
      </c>
      <c r="C146" s="115"/>
      <c r="D146" s="116">
        <v>0.05</v>
      </c>
      <c r="E146" s="117">
        <f t="shared" si="69"/>
        <v>215612.1</v>
      </c>
      <c r="F146" s="116"/>
      <c r="G146" s="117">
        <f t="shared" si="16"/>
        <v>0</v>
      </c>
      <c r="H146" s="116"/>
      <c r="I146" s="117">
        <f t="shared" si="70"/>
        <v>0</v>
      </c>
      <c r="J146" s="116"/>
      <c r="K146" s="117">
        <f t="shared" si="26"/>
        <v>0</v>
      </c>
      <c r="L146" s="116"/>
      <c r="M146" s="117">
        <f t="shared" si="32"/>
        <v>0</v>
      </c>
      <c r="N146" s="116"/>
      <c r="O146" s="117">
        <f t="shared" si="19"/>
        <v>0</v>
      </c>
      <c r="P146" s="116"/>
      <c r="Q146" s="117">
        <f t="shared" si="20"/>
        <v>0</v>
      </c>
      <c r="R146" s="116"/>
      <c r="S146" s="117">
        <f t="shared" si="21"/>
        <v>0</v>
      </c>
      <c r="T146" s="116"/>
      <c r="U146" s="117">
        <f t="shared" si="27"/>
        <v>0</v>
      </c>
      <c r="V146" s="116"/>
      <c r="W146" s="117">
        <f t="shared" si="22"/>
        <v>0</v>
      </c>
      <c r="X146" s="116"/>
      <c r="Y146" s="117">
        <f t="shared" si="67"/>
        <v>0</v>
      </c>
      <c r="Z146" s="116"/>
      <c r="AA146" s="117">
        <f t="shared" si="23"/>
        <v>0</v>
      </c>
      <c r="AB146" s="116"/>
      <c r="AC146" s="117">
        <f t="shared" si="29"/>
        <v>0</v>
      </c>
      <c r="AD146" s="116">
        <v>1</v>
      </c>
      <c r="AE146" s="117">
        <f t="shared" si="24"/>
        <v>215612.1</v>
      </c>
      <c r="AF146" s="116"/>
      <c r="AG146" s="118">
        <f t="shared" si="33"/>
        <v>0</v>
      </c>
      <c r="AH146" s="217"/>
      <c r="AI146" s="220"/>
      <c r="AJ146" s="220"/>
      <c r="AK146" s="150">
        <f t="shared" si="71"/>
        <v>0</v>
      </c>
      <c r="AL146" s="119">
        <f t="shared" si="71"/>
        <v>0</v>
      </c>
      <c r="AM146" s="120">
        <f t="shared" si="73"/>
        <v>0</v>
      </c>
      <c r="AN146" s="120">
        <v>0</v>
      </c>
      <c r="AO146" s="164">
        <f t="shared" si="74"/>
        <v>0</v>
      </c>
      <c r="AP146" s="150">
        <v>0</v>
      </c>
      <c r="AQ146" s="119">
        <f t="shared" si="75"/>
        <v>0</v>
      </c>
      <c r="AR146" s="150">
        <f t="shared" si="72"/>
        <v>0</v>
      </c>
      <c r="AS146" s="165">
        <f t="shared" si="76"/>
        <v>0</v>
      </c>
      <c r="AT146" s="181"/>
      <c r="AU146" s="167">
        <f t="shared" si="78"/>
        <v>0</v>
      </c>
      <c r="AV146" s="121"/>
      <c r="AW146" s="121"/>
      <c r="AX146" s="121"/>
      <c r="AY146" s="121"/>
      <c r="AZ146" s="121"/>
      <c r="BA146" s="121"/>
      <c r="BB146" s="121"/>
      <c r="BC146" s="121"/>
      <c r="BD146" s="121"/>
      <c r="BE146" s="121"/>
      <c r="BF146" s="121"/>
      <c r="BG146" s="121"/>
    </row>
    <row r="147" spans="1:59" s="122" customFormat="1" ht="15" customHeight="1">
      <c r="A147" s="113">
        <f t="shared" si="79"/>
        <v>12</v>
      </c>
      <c r="B147" s="114" t="s">
        <v>44</v>
      </c>
      <c r="C147" s="115"/>
      <c r="D147" s="116">
        <v>0.05</v>
      </c>
      <c r="E147" s="117">
        <f t="shared" si="69"/>
        <v>215612.1</v>
      </c>
      <c r="F147" s="116"/>
      <c r="G147" s="117">
        <f t="shared" si="16"/>
        <v>0</v>
      </c>
      <c r="H147" s="116"/>
      <c r="I147" s="117">
        <f t="shared" si="70"/>
        <v>0</v>
      </c>
      <c r="J147" s="116"/>
      <c r="K147" s="117">
        <f t="shared" si="26"/>
        <v>0</v>
      </c>
      <c r="L147" s="116"/>
      <c r="M147" s="117">
        <f t="shared" si="32"/>
        <v>0</v>
      </c>
      <c r="N147" s="116"/>
      <c r="O147" s="117">
        <f t="shared" si="19"/>
        <v>0</v>
      </c>
      <c r="P147" s="116"/>
      <c r="Q147" s="117">
        <f t="shared" si="20"/>
        <v>0</v>
      </c>
      <c r="R147" s="116"/>
      <c r="S147" s="117">
        <f t="shared" si="21"/>
        <v>0</v>
      </c>
      <c r="T147" s="116"/>
      <c r="U147" s="117">
        <f t="shared" si="27"/>
        <v>0</v>
      </c>
      <c r="V147" s="116"/>
      <c r="W147" s="117">
        <f t="shared" si="22"/>
        <v>0</v>
      </c>
      <c r="X147" s="116"/>
      <c r="Y147" s="117">
        <f t="shared" si="67"/>
        <v>0</v>
      </c>
      <c r="Z147" s="116"/>
      <c r="AA147" s="117">
        <f t="shared" si="23"/>
        <v>0</v>
      </c>
      <c r="AB147" s="116"/>
      <c r="AC147" s="117">
        <f t="shared" si="29"/>
        <v>0</v>
      </c>
      <c r="AD147" s="116">
        <v>1</v>
      </c>
      <c r="AE147" s="117">
        <f t="shared" si="24"/>
        <v>215612.1</v>
      </c>
      <c r="AF147" s="116"/>
      <c r="AG147" s="118">
        <f t="shared" si="33"/>
        <v>0</v>
      </c>
      <c r="AH147" s="218"/>
      <c r="AI147" s="221"/>
      <c r="AJ147" s="221"/>
      <c r="AK147" s="150">
        <f t="shared" si="71"/>
        <v>0</v>
      </c>
      <c r="AL147" s="119">
        <f t="shared" si="71"/>
        <v>0</v>
      </c>
      <c r="AM147" s="120">
        <f t="shared" si="73"/>
        <v>0</v>
      </c>
      <c r="AN147" s="120">
        <v>0</v>
      </c>
      <c r="AO147" s="164">
        <f t="shared" si="74"/>
        <v>0</v>
      </c>
      <c r="AP147" s="150">
        <v>0</v>
      </c>
      <c r="AQ147" s="119">
        <f t="shared" si="75"/>
        <v>0</v>
      </c>
      <c r="AR147" s="150">
        <f t="shared" si="72"/>
        <v>0</v>
      </c>
      <c r="AS147" s="165">
        <f t="shared" si="76"/>
        <v>0</v>
      </c>
      <c r="AT147" s="181"/>
      <c r="AU147" s="167">
        <f t="shared" si="78"/>
        <v>0</v>
      </c>
      <c r="AV147" s="121"/>
      <c r="AW147" s="121"/>
      <c r="AX147" s="121"/>
      <c r="AY147" s="121"/>
      <c r="AZ147" s="121"/>
      <c r="BA147" s="121"/>
      <c r="BB147" s="121"/>
      <c r="BC147" s="121"/>
      <c r="BD147" s="121"/>
      <c r="BE147" s="121"/>
      <c r="BF147" s="121"/>
      <c r="BG147" s="121"/>
    </row>
    <row r="148" spans="1:59" ht="15" customHeight="1">
      <c r="A148" s="74" t="s">
        <v>108</v>
      </c>
      <c r="B148" s="75" t="s">
        <v>109</v>
      </c>
      <c r="C148" s="76">
        <v>3353966</v>
      </c>
      <c r="D148" s="77"/>
      <c r="E148" s="78"/>
      <c r="F148" s="79"/>
      <c r="G148" s="80">
        <f t="shared" si="16"/>
        <v>0</v>
      </c>
      <c r="H148" s="79"/>
      <c r="I148" s="80"/>
      <c r="J148" s="80"/>
      <c r="K148" s="80">
        <f t="shared" si="26"/>
        <v>0</v>
      </c>
      <c r="L148" s="79"/>
      <c r="M148" s="80">
        <f t="shared" si="32"/>
        <v>0</v>
      </c>
      <c r="N148" s="80"/>
      <c r="O148" s="80">
        <f t="shared" si="19"/>
        <v>0</v>
      </c>
      <c r="P148" s="79"/>
      <c r="Q148" s="80">
        <f t="shared" si="20"/>
        <v>0</v>
      </c>
      <c r="R148" s="80"/>
      <c r="S148" s="80">
        <f t="shared" si="21"/>
        <v>0</v>
      </c>
      <c r="T148" s="79"/>
      <c r="U148" s="80">
        <f t="shared" si="27"/>
        <v>0</v>
      </c>
      <c r="V148" s="80"/>
      <c r="W148" s="80">
        <f t="shared" si="22"/>
        <v>0</v>
      </c>
      <c r="X148" s="79"/>
      <c r="Y148" s="80">
        <f t="shared" si="67"/>
        <v>0</v>
      </c>
      <c r="Z148" s="80"/>
      <c r="AA148" s="80">
        <f t="shared" si="23"/>
        <v>0</v>
      </c>
      <c r="AB148" s="79"/>
      <c r="AC148" s="80">
        <f t="shared" si="29"/>
        <v>0</v>
      </c>
      <c r="AD148" s="80"/>
      <c r="AE148" s="80">
        <f t="shared" si="24"/>
        <v>0</v>
      </c>
      <c r="AF148" s="79"/>
      <c r="AG148" s="81">
        <f t="shared" si="33"/>
        <v>0</v>
      </c>
      <c r="AH148" s="216">
        <f>SUM(E149:E155)</f>
        <v>3353966</v>
      </c>
      <c r="AI148" s="219">
        <f>SUM(G149:G155)+SUM(U149:U155)+SUM(M149:M155)+SUM(Q149:Q155)+SUM(I149:I155)</f>
        <v>3186267.7</v>
      </c>
      <c r="AJ148" s="222">
        <f>AI148/AH148</f>
        <v>0.95000000000000007</v>
      </c>
      <c r="AK148" s="17">
        <f t="shared" si="71"/>
        <v>0</v>
      </c>
      <c r="AL148" s="23">
        <f t="shared" si="71"/>
        <v>0</v>
      </c>
      <c r="AM148" s="4">
        <f t="shared" si="73"/>
        <v>0</v>
      </c>
      <c r="AN148" s="4">
        <v>0</v>
      </c>
      <c r="AO148" s="136">
        <f t="shared" si="74"/>
        <v>0</v>
      </c>
      <c r="AP148" s="17">
        <v>0</v>
      </c>
      <c r="AQ148" s="23">
        <f t="shared" si="75"/>
        <v>0</v>
      </c>
      <c r="AR148" s="17">
        <f t="shared" si="72"/>
        <v>0</v>
      </c>
      <c r="AS148" s="141">
        <f t="shared" si="76"/>
        <v>0</v>
      </c>
      <c r="AT148" s="158"/>
      <c r="AU148" s="146">
        <f t="shared" si="78"/>
        <v>0</v>
      </c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</row>
    <row r="149" spans="1:59" s="122" customFormat="1" ht="15" customHeight="1">
      <c r="A149" s="113">
        <v>1</v>
      </c>
      <c r="B149" s="114" t="s">
        <v>34</v>
      </c>
      <c r="C149" s="115"/>
      <c r="D149" s="116">
        <v>0.02</v>
      </c>
      <c r="E149" s="117">
        <f t="shared" ref="E149:E155" si="80">+D149*$C$148</f>
        <v>67079.320000000007</v>
      </c>
      <c r="F149" s="116">
        <v>1</v>
      </c>
      <c r="G149" s="117">
        <f t="shared" si="16"/>
        <v>67079.320000000007</v>
      </c>
      <c r="H149" s="116"/>
      <c r="I149" s="117"/>
      <c r="J149" s="116"/>
      <c r="K149" s="117">
        <f t="shared" si="26"/>
        <v>0</v>
      </c>
      <c r="L149" s="116"/>
      <c r="M149" s="117">
        <f t="shared" si="32"/>
        <v>0</v>
      </c>
      <c r="N149" s="116"/>
      <c r="O149" s="117">
        <f t="shared" si="19"/>
        <v>0</v>
      </c>
      <c r="P149" s="116"/>
      <c r="Q149" s="117">
        <f t="shared" si="20"/>
        <v>0</v>
      </c>
      <c r="R149" s="116"/>
      <c r="S149" s="117">
        <f t="shared" si="21"/>
        <v>0</v>
      </c>
      <c r="T149" s="116"/>
      <c r="U149" s="117">
        <f t="shared" si="27"/>
        <v>0</v>
      </c>
      <c r="V149" s="116"/>
      <c r="W149" s="117">
        <f t="shared" si="22"/>
        <v>0</v>
      </c>
      <c r="X149" s="116"/>
      <c r="Y149" s="117">
        <f t="shared" si="67"/>
        <v>0</v>
      </c>
      <c r="Z149" s="116"/>
      <c r="AA149" s="117">
        <f t="shared" si="23"/>
        <v>0</v>
      </c>
      <c r="AB149" s="116"/>
      <c r="AC149" s="117">
        <f t="shared" si="29"/>
        <v>0</v>
      </c>
      <c r="AD149" s="116"/>
      <c r="AE149" s="117">
        <f t="shared" si="24"/>
        <v>0</v>
      </c>
      <c r="AF149" s="116"/>
      <c r="AG149" s="118">
        <f t="shared" si="33"/>
        <v>0</v>
      </c>
      <c r="AH149" s="217"/>
      <c r="AI149" s="220"/>
      <c r="AJ149" s="220"/>
      <c r="AK149" s="150">
        <f t="shared" si="71"/>
        <v>1</v>
      </c>
      <c r="AL149" s="119">
        <f t="shared" si="71"/>
        <v>67079.320000000007</v>
      </c>
      <c r="AM149" s="120">
        <f t="shared" si="73"/>
        <v>1</v>
      </c>
      <c r="AN149" s="120">
        <v>1</v>
      </c>
      <c r="AO149" s="164">
        <f t="shared" si="74"/>
        <v>0</v>
      </c>
      <c r="AP149" s="150">
        <v>1</v>
      </c>
      <c r="AQ149" s="119">
        <f t="shared" si="75"/>
        <v>67079.320000000007</v>
      </c>
      <c r="AR149" s="150">
        <f t="shared" si="72"/>
        <v>0</v>
      </c>
      <c r="AS149" s="165">
        <f t="shared" si="76"/>
        <v>0</v>
      </c>
      <c r="AT149" s="181"/>
      <c r="AU149" s="167">
        <f t="shared" si="78"/>
        <v>0</v>
      </c>
      <c r="AV149" s="121"/>
      <c r="AW149" s="121"/>
      <c r="AX149" s="121"/>
      <c r="AY149" s="121"/>
      <c r="AZ149" s="121"/>
      <c r="BA149" s="121"/>
      <c r="BB149" s="121"/>
      <c r="BC149" s="121"/>
      <c r="BD149" s="121"/>
      <c r="BE149" s="121"/>
      <c r="BF149" s="121"/>
      <c r="BG149" s="121"/>
    </row>
    <row r="150" spans="1:59" s="122" customFormat="1" ht="15" customHeight="1">
      <c r="A150" s="113">
        <v>2</v>
      </c>
      <c r="B150" s="114" t="s">
        <v>47</v>
      </c>
      <c r="C150" s="115"/>
      <c r="D150" s="116">
        <v>0.13</v>
      </c>
      <c r="E150" s="117">
        <f t="shared" si="80"/>
        <v>436015.58</v>
      </c>
      <c r="F150" s="116">
        <v>1</v>
      </c>
      <c r="G150" s="117">
        <f t="shared" si="16"/>
        <v>436015.58</v>
      </c>
      <c r="H150" s="116"/>
      <c r="I150" s="117"/>
      <c r="J150" s="116"/>
      <c r="K150" s="117">
        <f t="shared" si="26"/>
        <v>0</v>
      </c>
      <c r="L150" s="116"/>
      <c r="M150" s="117">
        <f t="shared" si="32"/>
        <v>0</v>
      </c>
      <c r="N150" s="116"/>
      <c r="O150" s="117">
        <f t="shared" si="19"/>
        <v>0</v>
      </c>
      <c r="P150" s="116"/>
      <c r="Q150" s="117">
        <f t="shared" si="20"/>
        <v>0</v>
      </c>
      <c r="R150" s="116"/>
      <c r="S150" s="117">
        <f t="shared" si="21"/>
        <v>0</v>
      </c>
      <c r="T150" s="116"/>
      <c r="U150" s="117">
        <f t="shared" si="27"/>
        <v>0</v>
      </c>
      <c r="V150" s="116"/>
      <c r="W150" s="117">
        <f t="shared" si="22"/>
        <v>0</v>
      </c>
      <c r="X150" s="116"/>
      <c r="Y150" s="117">
        <f t="shared" si="67"/>
        <v>0</v>
      </c>
      <c r="Z150" s="116"/>
      <c r="AA150" s="117">
        <f t="shared" si="23"/>
        <v>0</v>
      </c>
      <c r="AB150" s="116"/>
      <c r="AC150" s="117">
        <f t="shared" si="29"/>
        <v>0</v>
      </c>
      <c r="AD150" s="116"/>
      <c r="AE150" s="117">
        <f t="shared" si="24"/>
        <v>0</v>
      </c>
      <c r="AF150" s="116"/>
      <c r="AG150" s="118">
        <f t="shared" si="33"/>
        <v>0</v>
      </c>
      <c r="AH150" s="217"/>
      <c r="AI150" s="220"/>
      <c r="AJ150" s="220"/>
      <c r="AK150" s="150">
        <f t="shared" si="71"/>
        <v>1</v>
      </c>
      <c r="AL150" s="119">
        <f t="shared" si="71"/>
        <v>436015.58</v>
      </c>
      <c r="AM150" s="120">
        <f t="shared" si="73"/>
        <v>1</v>
      </c>
      <c r="AN150" s="120">
        <v>1</v>
      </c>
      <c r="AO150" s="164">
        <f t="shared" si="74"/>
        <v>0</v>
      </c>
      <c r="AP150" s="150">
        <v>1</v>
      </c>
      <c r="AQ150" s="119">
        <f t="shared" si="75"/>
        <v>436015.58</v>
      </c>
      <c r="AR150" s="150">
        <f t="shared" si="72"/>
        <v>0</v>
      </c>
      <c r="AS150" s="165">
        <f t="shared" si="76"/>
        <v>0</v>
      </c>
      <c r="AT150" s="181"/>
      <c r="AU150" s="167">
        <f t="shared" si="78"/>
        <v>0</v>
      </c>
      <c r="AV150" s="121"/>
      <c r="AW150" s="121"/>
      <c r="AX150" s="121"/>
      <c r="AY150" s="121"/>
      <c r="AZ150" s="121"/>
      <c r="BA150" s="121"/>
      <c r="BB150" s="121"/>
      <c r="BC150" s="121"/>
      <c r="BD150" s="121"/>
      <c r="BE150" s="121"/>
      <c r="BF150" s="121"/>
      <c r="BG150" s="121"/>
    </row>
    <row r="151" spans="1:59" s="122" customFormat="1" ht="15" customHeight="1">
      <c r="A151" s="113">
        <v>3</v>
      </c>
      <c r="B151" s="114" t="s">
        <v>48</v>
      </c>
      <c r="C151" s="115"/>
      <c r="D151" s="116">
        <v>0.15</v>
      </c>
      <c r="E151" s="117">
        <f t="shared" si="80"/>
        <v>503094.89999999997</v>
      </c>
      <c r="F151" s="116">
        <v>1</v>
      </c>
      <c r="G151" s="117">
        <f t="shared" si="16"/>
        <v>503094.89999999997</v>
      </c>
      <c r="H151" s="116"/>
      <c r="I151" s="117"/>
      <c r="J151" s="116"/>
      <c r="K151" s="117">
        <f t="shared" si="26"/>
        <v>0</v>
      </c>
      <c r="L151" s="116"/>
      <c r="M151" s="117">
        <f t="shared" si="32"/>
        <v>0</v>
      </c>
      <c r="N151" s="116"/>
      <c r="O151" s="117">
        <f t="shared" si="19"/>
        <v>0</v>
      </c>
      <c r="P151" s="116"/>
      <c r="Q151" s="117">
        <f t="shared" si="20"/>
        <v>0</v>
      </c>
      <c r="R151" s="116"/>
      <c r="S151" s="117">
        <f t="shared" si="21"/>
        <v>0</v>
      </c>
      <c r="T151" s="116"/>
      <c r="U151" s="117">
        <f t="shared" si="27"/>
        <v>0</v>
      </c>
      <c r="V151" s="116"/>
      <c r="W151" s="117">
        <f t="shared" si="22"/>
        <v>0</v>
      </c>
      <c r="X151" s="116"/>
      <c r="Y151" s="117">
        <f t="shared" si="67"/>
        <v>0</v>
      </c>
      <c r="Z151" s="116"/>
      <c r="AA151" s="117">
        <f t="shared" si="23"/>
        <v>0</v>
      </c>
      <c r="AB151" s="116"/>
      <c r="AC151" s="117">
        <f t="shared" si="29"/>
        <v>0</v>
      </c>
      <c r="AD151" s="116"/>
      <c r="AE151" s="117">
        <f t="shared" si="24"/>
        <v>0</v>
      </c>
      <c r="AF151" s="116"/>
      <c r="AG151" s="118">
        <f t="shared" si="33"/>
        <v>0</v>
      </c>
      <c r="AH151" s="217"/>
      <c r="AI151" s="220"/>
      <c r="AJ151" s="220"/>
      <c r="AK151" s="150">
        <f t="shared" si="71"/>
        <v>1</v>
      </c>
      <c r="AL151" s="119">
        <f t="shared" si="71"/>
        <v>503094.89999999997</v>
      </c>
      <c r="AM151" s="120">
        <f t="shared" si="73"/>
        <v>1</v>
      </c>
      <c r="AN151" s="120">
        <v>1</v>
      </c>
      <c r="AO151" s="164">
        <f t="shared" si="74"/>
        <v>0</v>
      </c>
      <c r="AP151" s="150">
        <v>1</v>
      </c>
      <c r="AQ151" s="119">
        <f t="shared" si="75"/>
        <v>503094.89999999997</v>
      </c>
      <c r="AR151" s="150">
        <f t="shared" si="72"/>
        <v>0</v>
      </c>
      <c r="AS151" s="165">
        <f t="shared" si="76"/>
        <v>0</v>
      </c>
      <c r="AT151" s="181"/>
      <c r="AU151" s="167">
        <f t="shared" si="78"/>
        <v>0</v>
      </c>
      <c r="AV151" s="121"/>
      <c r="AW151" s="121"/>
      <c r="AX151" s="121"/>
      <c r="AY151" s="121"/>
      <c r="AZ151" s="121"/>
      <c r="BA151" s="121"/>
      <c r="BB151" s="121"/>
      <c r="BC151" s="121"/>
      <c r="BD151" s="121"/>
      <c r="BE151" s="121"/>
      <c r="BF151" s="121"/>
      <c r="BG151" s="121"/>
    </row>
    <row r="152" spans="1:59" s="122" customFormat="1" ht="15" customHeight="1">
      <c r="A152" s="113">
        <v>4</v>
      </c>
      <c r="B152" s="114" t="s">
        <v>110</v>
      </c>
      <c r="C152" s="115"/>
      <c r="D152" s="116">
        <v>0.25</v>
      </c>
      <c r="E152" s="117">
        <f t="shared" si="80"/>
        <v>838491.5</v>
      </c>
      <c r="F152" s="116"/>
      <c r="G152" s="117">
        <f t="shared" si="16"/>
        <v>0</v>
      </c>
      <c r="H152" s="116">
        <v>1</v>
      </c>
      <c r="I152" s="117">
        <f>+H152*$E152</f>
        <v>838491.5</v>
      </c>
      <c r="J152" s="116"/>
      <c r="K152" s="117">
        <f t="shared" si="26"/>
        <v>0</v>
      </c>
      <c r="L152" s="116"/>
      <c r="M152" s="117">
        <f t="shared" si="32"/>
        <v>0</v>
      </c>
      <c r="N152" s="116"/>
      <c r="O152" s="117">
        <f t="shared" si="19"/>
        <v>0</v>
      </c>
      <c r="P152" s="116"/>
      <c r="Q152" s="117">
        <f t="shared" si="20"/>
        <v>0</v>
      </c>
      <c r="R152" s="116"/>
      <c r="S152" s="117">
        <f t="shared" si="21"/>
        <v>0</v>
      </c>
      <c r="T152" s="116"/>
      <c r="U152" s="117">
        <f t="shared" si="27"/>
        <v>0</v>
      </c>
      <c r="V152" s="116"/>
      <c r="W152" s="117">
        <f t="shared" si="22"/>
        <v>0</v>
      </c>
      <c r="X152" s="116"/>
      <c r="Y152" s="117">
        <f t="shared" si="67"/>
        <v>0</v>
      </c>
      <c r="Z152" s="116"/>
      <c r="AA152" s="117">
        <f t="shared" si="23"/>
        <v>0</v>
      </c>
      <c r="AB152" s="116"/>
      <c r="AC152" s="117">
        <f t="shared" si="29"/>
        <v>0</v>
      </c>
      <c r="AD152" s="116"/>
      <c r="AE152" s="117">
        <f t="shared" si="24"/>
        <v>0</v>
      </c>
      <c r="AF152" s="116"/>
      <c r="AG152" s="118">
        <f t="shared" si="33"/>
        <v>0</v>
      </c>
      <c r="AH152" s="217"/>
      <c r="AI152" s="220"/>
      <c r="AJ152" s="220"/>
      <c r="AK152" s="150">
        <f t="shared" ref="AK152:AL167" si="81">F152+H152+L152+P152+T152+X152+AB152+AF152</f>
        <v>1</v>
      </c>
      <c r="AL152" s="119">
        <f t="shared" si="81"/>
        <v>838491.5</v>
      </c>
      <c r="AM152" s="120">
        <f t="shared" si="73"/>
        <v>1</v>
      </c>
      <c r="AN152" s="120">
        <v>1</v>
      </c>
      <c r="AO152" s="164">
        <f t="shared" si="74"/>
        <v>0</v>
      </c>
      <c r="AP152" s="150">
        <v>1</v>
      </c>
      <c r="AQ152" s="119">
        <f t="shared" si="75"/>
        <v>838491.5</v>
      </c>
      <c r="AR152" s="150">
        <f t="shared" si="72"/>
        <v>0</v>
      </c>
      <c r="AS152" s="165">
        <f t="shared" si="76"/>
        <v>0</v>
      </c>
      <c r="AT152" s="181"/>
      <c r="AU152" s="167">
        <f t="shared" si="78"/>
        <v>0</v>
      </c>
      <c r="AV152" s="121"/>
      <c r="AW152" s="121"/>
      <c r="AX152" s="121"/>
      <c r="AY152" s="121"/>
      <c r="AZ152" s="121"/>
      <c r="BA152" s="121"/>
      <c r="BB152" s="121"/>
      <c r="BC152" s="121"/>
      <c r="BD152" s="121"/>
      <c r="BE152" s="121"/>
      <c r="BF152" s="121"/>
      <c r="BG152" s="121"/>
    </row>
    <row r="153" spans="1:59" s="122" customFormat="1" ht="15" customHeight="1">
      <c r="A153" s="113">
        <v>5</v>
      </c>
      <c r="B153" s="114" t="s">
        <v>42</v>
      </c>
      <c r="C153" s="115"/>
      <c r="D153" s="116">
        <v>0.2</v>
      </c>
      <c r="E153" s="117">
        <f t="shared" si="80"/>
        <v>670793.20000000007</v>
      </c>
      <c r="F153" s="116"/>
      <c r="G153" s="117">
        <f t="shared" si="16"/>
        <v>0</v>
      </c>
      <c r="H153" s="116"/>
      <c r="I153" s="117"/>
      <c r="J153" s="116">
        <v>1</v>
      </c>
      <c r="K153" s="117">
        <f t="shared" si="26"/>
        <v>670793.20000000007</v>
      </c>
      <c r="L153" s="116">
        <v>1</v>
      </c>
      <c r="M153" s="117">
        <f t="shared" si="32"/>
        <v>670793.20000000007</v>
      </c>
      <c r="N153" s="116"/>
      <c r="O153" s="117">
        <f t="shared" si="19"/>
        <v>0</v>
      </c>
      <c r="P153" s="116"/>
      <c r="Q153" s="117">
        <f t="shared" si="20"/>
        <v>0</v>
      </c>
      <c r="R153" s="116"/>
      <c r="S153" s="117">
        <f t="shared" si="21"/>
        <v>0</v>
      </c>
      <c r="T153" s="116"/>
      <c r="U153" s="117">
        <f t="shared" si="27"/>
        <v>0</v>
      </c>
      <c r="V153" s="116"/>
      <c r="W153" s="117">
        <f t="shared" si="22"/>
        <v>0</v>
      </c>
      <c r="X153" s="116"/>
      <c r="Y153" s="117">
        <f t="shared" si="67"/>
        <v>0</v>
      </c>
      <c r="Z153" s="116"/>
      <c r="AA153" s="117">
        <f t="shared" si="23"/>
        <v>0</v>
      </c>
      <c r="AB153" s="116"/>
      <c r="AC153" s="117">
        <f t="shared" si="29"/>
        <v>0</v>
      </c>
      <c r="AD153" s="116"/>
      <c r="AE153" s="117">
        <f t="shared" si="24"/>
        <v>0</v>
      </c>
      <c r="AF153" s="116"/>
      <c r="AG153" s="118">
        <f t="shared" si="33"/>
        <v>0</v>
      </c>
      <c r="AH153" s="217"/>
      <c r="AI153" s="220"/>
      <c r="AJ153" s="220"/>
      <c r="AK153" s="150">
        <f t="shared" si="81"/>
        <v>1</v>
      </c>
      <c r="AL153" s="119">
        <f t="shared" si="81"/>
        <v>670793.20000000007</v>
      </c>
      <c r="AM153" s="120">
        <f t="shared" si="73"/>
        <v>1</v>
      </c>
      <c r="AN153" s="120">
        <v>1</v>
      </c>
      <c r="AO153" s="164">
        <f t="shared" si="74"/>
        <v>0</v>
      </c>
      <c r="AP153" s="150">
        <v>1</v>
      </c>
      <c r="AQ153" s="119">
        <f t="shared" si="75"/>
        <v>670793.20000000007</v>
      </c>
      <c r="AR153" s="150">
        <f t="shared" si="72"/>
        <v>0</v>
      </c>
      <c r="AS153" s="165">
        <f t="shared" si="76"/>
        <v>0</v>
      </c>
      <c r="AT153" s="166"/>
      <c r="AU153" s="167">
        <f t="shared" si="78"/>
        <v>0</v>
      </c>
      <c r="AV153" s="124"/>
      <c r="AW153" s="124"/>
      <c r="AX153" s="124"/>
      <c r="AY153" s="124"/>
      <c r="AZ153" s="124"/>
      <c r="BA153" s="124"/>
      <c r="BB153" s="124"/>
      <c r="BC153" s="124"/>
      <c r="BD153" s="124"/>
      <c r="BE153" s="124"/>
      <c r="BF153" s="124"/>
      <c r="BG153" s="124"/>
    </row>
    <row r="154" spans="1:59" s="122" customFormat="1" ht="15" customHeight="1">
      <c r="A154" s="113">
        <v>6</v>
      </c>
      <c r="B154" s="114" t="s">
        <v>43</v>
      </c>
      <c r="C154" s="115"/>
      <c r="D154" s="116">
        <v>0.2</v>
      </c>
      <c r="E154" s="117">
        <f t="shared" si="80"/>
        <v>670793.20000000007</v>
      </c>
      <c r="F154" s="116"/>
      <c r="G154" s="117">
        <f t="shared" si="16"/>
        <v>0</v>
      </c>
      <c r="H154" s="116"/>
      <c r="I154" s="117"/>
      <c r="J154" s="116">
        <v>0.5</v>
      </c>
      <c r="K154" s="117">
        <f t="shared" si="26"/>
        <v>335396.60000000003</v>
      </c>
      <c r="L154" s="116">
        <v>0.5</v>
      </c>
      <c r="M154" s="117">
        <f t="shared" si="32"/>
        <v>335396.60000000003</v>
      </c>
      <c r="N154" s="116">
        <v>0.5</v>
      </c>
      <c r="O154" s="117">
        <f t="shared" si="19"/>
        <v>335396.60000000003</v>
      </c>
      <c r="P154" s="123">
        <v>0.5</v>
      </c>
      <c r="Q154" s="117">
        <f t="shared" si="20"/>
        <v>335396.60000000003</v>
      </c>
      <c r="R154" s="116"/>
      <c r="S154" s="117">
        <f t="shared" si="21"/>
        <v>0</v>
      </c>
      <c r="T154" s="116"/>
      <c r="U154" s="117">
        <f t="shared" si="27"/>
        <v>0</v>
      </c>
      <c r="V154" s="116"/>
      <c r="W154" s="117">
        <f t="shared" si="22"/>
        <v>0</v>
      </c>
      <c r="X154" s="116"/>
      <c r="Y154" s="117">
        <f t="shared" si="67"/>
        <v>0</v>
      </c>
      <c r="Z154" s="116"/>
      <c r="AA154" s="117">
        <f t="shared" si="23"/>
        <v>0</v>
      </c>
      <c r="AB154" s="116"/>
      <c r="AC154" s="117">
        <f t="shared" si="29"/>
        <v>0</v>
      </c>
      <c r="AD154" s="116"/>
      <c r="AE154" s="117">
        <f t="shared" si="24"/>
        <v>0</v>
      </c>
      <c r="AF154" s="116"/>
      <c r="AG154" s="118">
        <f t="shared" si="33"/>
        <v>0</v>
      </c>
      <c r="AH154" s="217"/>
      <c r="AI154" s="220"/>
      <c r="AJ154" s="220"/>
      <c r="AK154" s="150">
        <f t="shared" si="81"/>
        <v>1</v>
      </c>
      <c r="AL154" s="119">
        <f t="shared" si="81"/>
        <v>670793.20000000007</v>
      </c>
      <c r="AM154" s="120">
        <f t="shared" si="73"/>
        <v>1</v>
      </c>
      <c r="AN154" s="120">
        <v>0.98</v>
      </c>
      <c r="AO154" s="164">
        <f t="shared" si="74"/>
        <v>2.0000000000000018E-2</v>
      </c>
      <c r="AP154" s="150">
        <v>0.88</v>
      </c>
      <c r="AQ154" s="119">
        <f t="shared" si="75"/>
        <v>590298.01600000006</v>
      </c>
      <c r="AR154" s="150">
        <f t="shared" si="72"/>
        <v>0.12</v>
      </c>
      <c r="AS154" s="165">
        <f t="shared" si="76"/>
        <v>80495.184000000008</v>
      </c>
      <c r="AT154" s="181">
        <f t="shared" ref="AT154:AT155" si="82">100%-AK154</f>
        <v>0</v>
      </c>
      <c r="AU154" s="167">
        <f t="shared" si="78"/>
        <v>0</v>
      </c>
      <c r="AV154" s="121"/>
      <c r="AW154" s="121"/>
      <c r="AX154" s="121"/>
      <c r="AY154" s="121"/>
      <c r="AZ154" s="121"/>
      <c r="BA154" s="121"/>
      <c r="BB154" s="121"/>
      <c r="BC154" s="121"/>
      <c r="BD154" s="121"/>
      <c r="BE154" s="121"/>
      <c r="BF154" s="121"/>
      <c r="BG154" s="121"/>
    </row>
    <row r="155" spans="1:59" s="122" customFormat="1" ht="15" customHeight="1">
      <c r="A155" s="113">
        <v>7</v>
      </c>
      <c r="B155" s="114" t="s">
        <v>44</v>
      </c>
      <c r="C155" s="115"/>
      <c r="D155" s="116">
        <v>0.05</v>
      </c>
      <c r="E155" s="117">
        <f t="shared" si="80"/>
        <v>167698.30000000002</v>
      </c>
      <c r="F155" s="116"/>
      <c r="G155" s="117">
        <f t="shared" si="16"/>
        <v>0</v>
      </c>
      <c r="H155" s="116"/>
      <c r="I155" s="117"/>
      <c r="J155" s="116"/>
      <c r="K155" s="117">
        <f t="shared" si="26"/>
        <v>0</v>
      </c>
      <c r="L155" s="116"/>
      <c r="M155" s="117">
        <f t="shared" si="32"/>
        <v>0</v>
      </c>
      <c r="N155" s="116"/>
      <c r="O155" s="117">
        <f t="shared" si="19"/>
        <v>0</v>
      </c>
      <c r="P155" s="116"/>
      <c r="Q155" s="117">
        <f t="shared" si="20"/>
        <v>0</v>
      </c>
      <c r="R155" s="116">
        <v>1</v>
      </c>
      <c r="S155" s="117">
        <f t="shared" si="21"/>
        <v>167698.30000000002</v>
      </c>
      <c r="T155" s="116"/>
      <c r="U155" s="117">
        <f t="shared" si="27"/>
        <v>0</v>
      </c>
      <c r="V155" s="116"/>
      <c r="W155" s="117">
        <f t="shared" si="22"/>
        <v>0</v>
      </c>
      <c r="X155" s="116"/>
      <c r="Y155" s="117">
        <f t="shared" si="67"/>
        <v>0</v>
      </c>
      <c r="Z155" s="116"/>
      <c r="AA155" s="117">
        <f t="shared" si="23"/>
        <v>0</v>
      </c>
      <c r="AB155" s="116"/>
      <c r="AC155" s="117">
        <f t="shared" si="29"/>
        <v>0</v>
      </c>
      <c r="AD155" s="116"/>
      <c r="AE155" s="117">
        <f t="shared" si="24"/>
        <v>0</v>
      </c>
      <c r="AF155" s="116"/>
      <c r="AG155" s="118">
        <f t="shared" si="33"/>
        <v>0</v>
      </c>
      <c r="AH155" s="218"/>
      <c r="AI155" s="221"/>
      <c r="AJ155" s="221"/>
      <c r="AK155" s="150">
        <f t="shared" si="81"/>
        <v>0</v>
      </c>
      <c r="AL155" s="119">
        <f t="shared" si="81"/>
        <v>0</v>
      </c>
      <c r="AM155" s="120">
        <f t="shared" si="73"/>
        <v>0</v>
      </c>
      <c r="AN155" s="120">
        <v>0</v>
      </c>
      <c r="AO155" s="164">
        <f t="shared" si="74"/>
        <v>0</v>
      </c>
      <c r="AP155" s="150">
        <v>0</v>
      </c>
      <c r="AQ155" s="119">
        <f t="shared" si="75"/>
        <v>0</v>
      </c>
      <c r="AR155" s="150">
        <f t="shared" si="72"/>
        <v>0</v>
      </c>
      <c r="AS155" s="165">
        <f t="shared" si="76"/>
        <v>0</v>
      </c>
      <c r="AT155" s="181">
        <f t="shared" si="82"/>
        <v>1</v>
      </c>
      <c r="AU155" s="167">
        <f t="shared" si="78"/>
        <v>167698.30000000002</v>
      </c>
      <c r="AV155" s="121"/>
      <c r="AW155" s="121"/>
      <c r="AX155" s="121"/>
      <c r="AY155" s="121"/>
      <c r="AZ155" s="121"/>
      <c r="BA155" s="121"/>
      <c r="BB155" s="121"/>
      <c r="BC155" s="121"/>
      <c r="BD155" s="121"/>
      <c r="BE155" s="121"/>
      <c r="BF155" s="121"/>
      <c r="BG155" s="121"/>
    </row>
    <row r="156" spans="1:59" ht="15" customHeight="1">
      <c r="A156" s="74" t="s">
        <v>111</v>
      </c>
      <c r="B156" s="75" t="s">
        <v>112</v>
      </c>
      <c r="C156" s="76">
        <v>2395690</v>
      </c>
      <c r="D156" s="83"/>
      <c r="E156" s="78"/>
      <c r="F156" s="79"/>
      <c r="G156" s="80">
        <f t="shared" si="16"/>
        <v>0</v>
      </c>
      <c r="H156" s="79"/>
      <c r="I156" s="80"/>
      <c r="J156" s="80"/>
      <c r="K156" s="80">
        <f t="shared" si="26"/>
        <v>0</v>
      </c>
      <c r="L156" s="79"/>
      <c r="M156" s="80">
        <f t="shared" si="32"/>
        <v>0</v>
      </c>
      <c r="N156" s="80"/>
      <c r="O156" s="80">
        <f t="shared" si="19"/>
        <v>0</v>
      </c>
      <c r="P156" s="79"/>
      <c r="Q156" s="80">
        <f t="shared" si="20"/>
        <v>0</v>
      </c>
      <c r="R156" s="80"/>
      <c r="S156" s="80">
        <f t="shared" si="21"/>
        <v>0</v>
      </c>
      <c r="T156" s="79"/>
      <c r="U156" s="80">
        <f t="shared" si="27"/>
        <v>0</v>
      </c>
      <c r="V156" s="80"/>
      <c r="W156" s="80">
        <f t="shared" si="22"/>
        <v>0</v>
      </c>
      <c r="X156" s="79"/>
      <c r="Y156" s="80">
        <f t="shared" si="67"/>
        <v>0</v>
      </c>
      <c r="Z156" s="80"/>
      <c r="AA156" s="80">
        <f t="shared" si="23"/>
        <v>0</v>
      </c>
      <c r="AB156" s="79"/>
      <c r="AC156" s="80">
        <f t="shared" si="29"/>
        <v>0</v>
      </c>
      <c r="AD156" s="80"/>
      <c r="AE156" s="80">
        <f t="shared" si="24"/>
        <v>0</v>
      </c>
      <c r="AF156" s="79"/>
      <c r="AG156" s="81">
        <f t="shared" si="33"/>
        <v>0</v>
      </c>
      <c r="AH156" s="216">
        <f>SUM(E157:E163)</f>
        <v>2395690</v>
      </c>
      <c r="AI156" s="219">
        <f>SUM(G157:G163)+SUM(AG157:AG163)+SUM(M157:M163)+SUM(Q157:Q163)+SUM(I157:I163)</f>
        <v>2275905.5</v>
      </c>
      <c r="AJ156" s="222">
        <f>AI156/AH156</f>
        <v>0.95</v>
      </c>
      <c r="AK156" s="17">
        <f t="shared" si="81"/>
        <v>0</v>
      </c>
      <c r="AL156" s="23">
        <f t="shared" si="81"/>
        <v>0</v>
      </c>
      <c r="AM156" s="4">
        <f t="shared" si="73"/>
        <v>0</v>
      </c>
      <c r="AN156" s="4">
        <v>0</v>
      </c>
      <c r="AO156" s="136">
        <f t="shared" si="74"/>
        <v>0</v>
      </c>
      <c r="AP156" s="17">
        <v>0</v>
      </c>
      <c r="AQ156" s="23">
        <f t="shared" si="75"/>
        <v>0</v>
      </c>
      <c r="AR156" s="17">
        <f t="shared" si="72"/>
        <v>0</v>
      </c>
      <c r="AS156" s="141">
        <f t="shared" si="76"/>
        <v>0</v>
      </c>
      <c r="AT156" s="158"/>
      <c r="AU156" s="146">
        <f t="shared" si="78"/>
        <v>0</v>
      </c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</row>
    <row r="157" spans="1:59" s="122" customFormat="1" ht="15" customHeight="1">
      <c r="A157" s="113">
        <v>1</v>
      </c>
      <c r="B157" s="114" t="s">
        <v>34</v>
      </c>
      <c r="C157" s="115"/>
      <c r="D157" s="116">
        <v>0.02</v>
      </c>
      <c r="E157" s="117">
        <f t="shared" ref="E157:E163" si="83">+D157*$C$156</f>
        <v>47913.8</v>
      </c>
      <c r="F157" s="116">
        <v>1</v>
      </c>
      <c r="G157" s="117">
        <f t="shared" si="16"/>
        <v>47913.8</v>
      </c>
      <c r="H157" s="116"/>
      <c r="I157" s="117"/>
      <c r="J157" s="116"/>
      <c r="K157" s="117">
        <f t="shared" si="26"/>
        <v>0</v>
      </c>
      <c r="L157" s="116"/>
      <c r="M157" s="117">
        <f t="shared" si="32"/>
        <v>0</v>
      </c>
      <c r="N157" s="116"/>
      <c r="O157" s="117">
        <f t="shared" si="19"/>
        <v>0</v>
      </c>
      <c r="P157" s="116"/>
      <c r="Q157" s="117">
        <f t="shared" si="20"/>
        <v>0</v>
      </c>
      <c r="R157" s="116"/>
      <c r="S157" s="117">
        <f t="shared" si="21"/>
        <v>0</v>
      </c>
      <c r="T157" s="116"/>
      <c r="U157" s="117">
        <f t="shared" si="27"/>
        <v>0</v>
      </c>
      <c r="V157" s="116"/>
      <c r="W157" s="117">
        <f t="shared" si="22"/>
        <v>0</v>
      </c>
      <c r="X157" s="116"/>
      <c r="Y157" s="117">
        <f t="shared" si="67"/>
        <v>0</v>
      </c>
      <c r="Z157" s="116"/>
      <c r="AA157" s="117">
        <f t="shared" si="23"/>
        <v>0</v>
      </c>
      <c r="AB157" s="116"/>
      <c r="AC157" s="117">
        <f t="shared" si="29"/>
        <v>0</v>
      </c>
      <c r="AD157" s="116"/>
      <c r="AE157" s="117">
        <f t="shared" si="24"/>
        <v>0</v>
      </c>
      <c r="AF157" s="116"/>
      <c r="AG157" s="118">
        <f t="shared" si="33"/>
        <v>0</v>
      </c>
      <c r="AH157" s="217"/>
      <c r="AI157" s="220"/>
      <c r="AJ157" s="220"/>
      <c r="AK157" s="150">
        <f t="shared" si="81"/>
        <v>1</v>
      </c>
      <c r="AL157" s="119">
        <f t="shared" si="81"/>
        <v>47913.8</v>
      </c>
      <c r="AM157" s="120">
        <f t="shared" si="73"/>
        <v>1</v>
      </c>
      <c r="AN157" s="120">
        <v>1</v>
      </c>
      <c r="AO157" s="164">
        <f t="shared" si="74"/>
        <v>0</v>
      </c>
      <c r="AP157" s="150">
        <v>1</v>
      </c>
      <c r="AQ157" s="119">
        <f t="shared" si="75"/>
        <v>47913.8</v>
      </c>
      <c r="AR157" s="150">
        <f t="shared" si="72"/>
        <v>0</v>
      </c>
      <c r="AS157" s="165">
        <f t="shared" si="76"/>
        <v>0</v>
      </c>
      <c r="AT157" s="181"/>
      <c r="AU157" s="167">
        <f t="shared" si="78"/>
        <v>0</v>
      </c>
      <c r="AV157" s="121"/>
      <c r="AW157" s="121"/>
      <c r="AX157" s="121"/>
      <c r="AY157" s="121"/>
      <c r="AZ157" s="121"/>
      <c r="BA157" s="121"/>
      <c r="BB157" s="121"/>
      <c r="BC157" s="121"/>
      <c r="BD157" s="121"/>
      <c r="BE157" s="121"/>
      <c r="BF157" s="121"/>
      <c r="BG157" s="121"/>
    </row>
    <row r="158" spans="1:59" s="122" customFormat="1" ht="15" customHeight="1">
      <c r="A158" s="113">
        <v>2</v>
      </c>
      <c r="B158" s="114" t="s">
        <v>47</v>
      </c>
      <c r="C158" s="115"/>
      <c r="D158" s="116">
        <v>0.13</v>
      </c>
      <c r="E158" s="117">
        <f t="shared" si="83"/>
        <v>311439.7</v>
      </c>
      <c r="F158" s="116"/>
      <c r="G158" s="117">
        <f t="shared" si="16"/>
        <v>0</v>
      </c>
      <c r="H158" s="116">
        <v>1</v>
      </c>
      <c r="I158" s="117">
        <f t="shared" ref="I158:I163" si="84">+H158*$E158</f>
        <v>311439.7</v>
      </c>
      <c r="J158" s="116"/>
      <c r="K158" s="117">
        <f t="shared" si="26"/>
        <v>0</v>
      </c>
      <c r="L158" s="116"/>
      <c r="M158" s="117">
        <f t="shared" si="32"/>
        <v>0</v>
      </c>
      <c r="N158" s="116"/>
      <c r="O158" s="117">
        <f t="shared" si="19"/>
        <v>0</v>
      </c>
      <c r="P158" s="116"/>
      <c r="Q158" s="117">
        <f t="shared" si="20"/>
        <v>0</v>
      </c>
      <c r="R158" s="116"/>
      <c r="S158" s="117">
        <f t="shared" si="21"/>
        <v>0</v>
      </c>
      <c r="T158" s="116"/>
      <c r="U158" s="117">
        <f t="shared" si="27"/>
        <v>0</v>
      </c>
      <c r="V158" s="116"/>
      <c r="W158" s="117">
        <f t="shared" si="22"/>
        <v>0</v>
      </c>
      <c r="X158" s="116"/>
      <c r="Y158" s="117">
        <f t="shared" si="67"/>
        <v>0</v>
      </c>
      <c r="Z158" s="116"/>
      <c r="AA158" s="117">
        <f t="shared" si="23"/>
        <v>0</v>
      </c>
      <c r="AB158" s="116"/>
      <c r="AC158" s="117">
        <f t="shared" si="29"/>
        <v>0</v>
      </c>
      <c r="AD158" s="116"/>
      <c r="AE158" s="117">
        <f t="shared" si="24"/>
        <v>0</v>
      </c>
      <c r="AF158" s="116"/>
      <c r="AG158" s="118">
        <f t="shared" si="33"/>
        <v>0</v>
      </c>
      <c r="AH158" s="217"/>
      <c r="AI158" s="220"/>
      <c r="AJ158" s="220"/>
      <c r="AK158" s="150">
        <f t="shared" si="81"/>
        <v>1</v>
      </c>
      <c r="AL158" s="119">
        <f t="shared" si="81"/>
        <v>311439.7</v>
      </c>
      <c r="AM158" s="120">
        <f t="shared" si="73"/>
        <v>1</v>
      </c>
      <c r="AN158" s="120">
        <v>1</v>
      </c>
      <c r="AO158" s="164">
        <f t="shared" si="74"/>
        <v>0</v>
      </c>
      <c r="AP158" s="150">
        <v>1</v>
      </c>
      <c r="AQ158" s="119">
        <f t="shared" si="75"/>
        <v>311439.7</v>
      </c>
      <c r="AR158" s="150">
        <f t="shared" si="72"/>
        <v>0</v>
      </c>
      <c r="AS158" s="165">
        <f t="shared" si="76"/>
        <v>0</v>
      </c>
      <c r="AT158" s="181"/>
      <c r="AU158" s="167">
        <f t="shared" si="78"/>
        <v>0</v>
      </c>
      <c r="AV158" s="121"/>
      <c r="AW158" s="121"/>
      <c r="AX158" s="121"/>
      <c r="AY158" s="121"/>
      <c r="AZ158" s="121"/>
      <c r="BA158" s="121"/>
      <c r="BB158" s="121"/>
      <c r="BC158" s="121"/>
      <c r="BD158" s="121"/>
      <c r="BE158" s="121"/>
      <c r="BF158" s="121"/>
      <c r="BG158" s="121"/>
    </row>
    <row r="159" spans="1:59" s="122" customFormat="1" ht="15" customHeight="1">
      <c r="A159" s="113">
        <v>3</v>
      </c>
      <c r="B159" s="114" t="s">
        <v>48</v>
      </c>
      <c r="C159" s="115"/>
      <c r="D159" s="116">
        <v>0.15</v>
      </c>
      <c r="E159" s="117">
        <f t="shared" si="83"/>
        <v>359353.5</v>
      </c>
      <c r="F159" s="116"/>
      <c r="G159" s="117">
        <f t="shared" si="16"/>
        <v>0</v>
      </c>
      <c r="H159" s="116">
        <v>1</v>
      </c>
      <c r="I159" s="117">
        <f t="shared" si="84"/>
        <v>359353.5</v>
      </c>
      <c r="J159" s="116"/>
      <c r="K159" s="117">
        <f t="shared" si="26"/>
        <v>0</v>
      </c>
      <c r="L159" s="116"/>
      <c r="M159" s="117">
        <f t="shared" si="32"/>
        <v>0</v>
      </c>
      <c r="N159" s="116"/>
      <c r="O159" s="117">
        <f t="shared" si="19"/>
        <v>0</v>
      </c>
      <c r="P159" s="116"/>
      <c r="Q159" s="117">
        <f t="shared" si="20"/>
        <v>0</v>
      </c>
      <c r="R159" s="116"/>
      <c r="S159" s="117">
        <f t="shared" si="21"/>
        <v>0</v>
      </c>
      <c r="T159" s="116"/>
      <c r="U159" s="117">
        <f t="shared" si="27"/>
        <v>0</v>
      </c>
      <c r="V159" s="116"/>
      <c r="W159" s="117">
        <f t="shared" si="22"/>
        <v>0</v>
      </c>
      <c r="X159" s="116"/>
      <c r="Y159" s="117">
        <f t="shared" si="67"/>
        <v>0</v>
      </c>
      <c r="Z159" s="116"/>
      <c r="AA159" s="117">
        <f t="shared" si="23"/>
        <v>0</v>
      </c>
      <c r="AB159" s="116"/>
      <c r="AC159" s="117">
        <f t="shared" si="29"/>
        <v>0</v>
      </c>
      <c r="AD159" s="116"/>
      <c r="AE159" s="117">
        <f t="shared" si="24"/>
        <v>0</v>
      </c>
      <c r="AF159" s="116"/>
      <c r="AG159" s="118">
        <f t="shared" si="33"/>
        <v>0</v>
      </c>
      <c r="AH159" s="217"/>
      <c r="AI159" s="220"/>
      <c r="AJ159" s="220"/>
      <c r="AK159" s="150">
        <f t="shared" si="81"/>
        <v>1</v>
      </c>
      <c r="AL159" s="119">
        <f t="shared" si="81"/>
        <v>359353.5</v>
      </c>
      <c r="AM159" s="120">
        <f t="shared" si="73"/>
        <v>1</v>
      </c>
      <c r="AN159" s="120">
        <v>1</v>
      </c>
      <c r="AO159" s="164">
        <f t="shared" si="74"/>
        <v>0</v>
      </c>
      <c r="AP159" s="150">
        <v>1</v>
      </c>
      <c r="AQ159" s="119">
        <f t="shared" si="75"/>
        <v>359353.5</v>
      </c>
      <c r="AR159" s="150">
        <f t="shared" si="72"/>
        <v>0</v>
      </c>
      <c r="AS159" s="165">
        <f t="shared" si="76"/>
        <v>0</v>
      </c>
      <c r="AT159" s="181"/>
      <c r="AU159" s="167">
        <f t="shared" si="78"/>
        <v>0</v>
      </c>
      <c r="AV159" s="121"/>
      <c r="AW159" s="121"/>
      <c r="AX159" s="121"/>
      <c r="AY159" s="121"/>
      <c r="AZ159" s="121"/>
      <c r="BA159" s="121"/>
      <c r="BB159" s="121"/>
      <c r="BC159" s="121"/>
      <c r="BD159" s="121"/>
      <c r="BE159" s="121"/>
      <c r="BF159" s="121"/>
      <c r="BG159" s="121"/>
    </row>
    <row r="160" spans="1:59" s="122" customFormat="1" ht="15" customHeight="1">
      <c r="A160" s="113">
        <v>4</v>
      </c>
      <c r="B160" s="114" t="s">
        <v>113</v>
      </c>
      <c r="C160" s="115"/>
      <c r="D160" s="116">
        <v>0.25</v>
      </c>
      <c r="E160" s="117">
        <f t="shared" si="83"/>
        <v>598922.5</v>
      </c>
      <c r="F160" s="116"/>
      <c r="G160" s="117">
        <f t="shared" si="16"/>
        <v>0</v>
      </c>
      <c r="H160" s="116">
        <v>1</v>
      </c>
      <c r="I160" s="117">
        <f t="shared" si="84"/>
        <v>598922.5</v>
      </c>
      <c r="J160" s="116"/>
      <c r="K160" s="117">
        <f t="shared" si="26"/>
        <v>0</v>
      </c>
      <c r="L160" s="116"/>
      <c r="M160" s="117">
        <f t="shared" si="32"/>
        <v>0</v>
      </c>
      <c r="N160" s="116"/>
      <c r="O160" s="117">
        <f t="shared" si="19"/>
        <v>0</v>
      </c>
      <c r="P160" s="116"/>
      <c r="Q160" s="117">
        <f t="shared" si="20"/>
        <v>0</v>
      </c>
      <c r="R160" s="116"/>
      <c r="S160" s="117">
        <f t="shared" si="21"/>
        <v>0</v>
      </c>
      <c r="T160" s="116"/>
      <c r="U160" s="117">
        <f t="shared" si="27"/>
        <v>0</v>
      </c>
      <c r="V160" s="116"/>
      <c r="W160" s="117">
        <f t="shared" si="22"/>
        <v>0</v>
      </c>
      <c r="X160" s="116"/>
      <c r="Y160" s="117">
        <f t="shared" si="67"/>
        <v>0</v>
      </c>
      <c r="Z160" s="116"/>
      <c r="AA160" s="117">
        <f t="shared" si="23"/>
        <v>0</v>
      </c>
      <c r="AB160" s="116"/>
      <c r="AC160" s="117">
        <f t="shared" si="29"/>
        <v>0</v>
      </c>
      <c r="AD160" s="116"/>
      <c r="AE160" s="117">
        <f t="shared" si="24"/>
        <v>0</v>
      </c>
      <c r="AF160" s="116"/>
      <c r="AG160" s="118">
        <f t="shared" si="33"/>
        <v>0</v>
      </c>
      <c r="AH160" s="217"/>
      <c r="AI160" s="220"/>
      <c r="AJ160" s="220"/>
      <c r="AK160" s="150">
        <f t="shared" si="81"/>
        <v>1</v>
      </c>
      <c r="AL160" s="119">
        <f t="shared" si="81"/>
        <v>598922.5</v>
      </c>
      <c r="AM160" s="120">
        <f t="shared" si="73"/>
        <v>1</v>
      </c>
      <c r="AN160" s="120">
        <v>1</v>
      </c>
      <c r="AO160" s="164">
        <f t="shared" si="74"/>
        <v>0</v>
      </c>
      <c r="AP160" s="150">
        <v>1</v>
      </c>
      <c r="AQ160" s="119">
        <f t="shared" si="75"/>
        <v>598922.5</v>
      </c>
      <c r="AR160" s="150">
        <f t="shared" si="72"/>
        <v>0</v>
      </c>
      <c r="AS160" s="165">
        <f t="shared" si="76"/>
        <v>0</v>
      </c>
      <c r="AT160" s="181"/>
      <c r="AU160" s="167">
        <f t="shared" si="78"/>
        <v>0</v>
      </c>
      <c r="AV160" s="121"/>
      <c r="AW160" s="121"/>
      <c r="AX160" s="121"/>
      <c r="AY160" s="121"/>
      <c r="AZ160" s="121"/>
      <c r="BA160" s="121"/>
      <c r="BB160" s="121"/>
      <c r="BC160" s="121"/>
      <c r="BD160" s="121"/>
      <c r="BE160" s="121"/>
      <c r="BF160" s="121"/>
      <c r="BG160" s="121"/>
    </row>
    <row r="161" spans="1:59" s="122" customFormat="1" ht="15" customHeight="1">
      <c r="A161" s="113">
        <v>5</v>
      </c>
      <c r="B161" s="114" t="s">
        <v>42</v>
      </c>
      <c r="C161" s="115"/>
      <c r="D161" s="116">
        <v>0.2</v>
      </c>
      <c r="E161" s="117">
        <f t="shared" si="83"/>
        <v>479138</v>
      </c>
      <c r="F161" s="116"/>
      <c r="G161" s="117">
        <f t="shared" si="16"/>
        <v>0</v>
      </c>
      <c r="H161" s="116">
        <v>1</v>
      </c>
      <c r="I161" s="117">
        <f t="shared" si="84"/>
        <v>479138</v>
      </c>
      <c r="J161" s="116"/>
      <c r="K161" s="117">
        <f t="shared" si="26"/>
        <v>0</v>
      </c>
      <c r="L161" s="116"/>
      <c r="M161" s="117">
        <f t="shared" si="32"/>
        <v>0</v>
      </c>
      <c r="N161" s="116"/>
      <c r="O161" s="117">
        <f t="shared" si="19"/>
        <v>0</v>
      </c>
      <c r="P161" s="116"/>
      <c r="Q161" s="117">
        <f t="shared" si="20"/>
        <v>0</v>
      </c>
      <c r="R161" s="116"/>
      <c r="S161" s="117">
        <f t="shared" si="21"/>
        <v>0</v>
      </c>
      <c r="T161" s="116"/>
      <c r="U161" s="117">
        <f t="shared" si="27"/>
        <v>0</v>
      </c>
      <c r="V161" s="116"/>
      <c r="W161" s="117">
        <f t="shared" si="22"/>
        <v>0</v>
      </c>
      <c r="X161" s="116"/>
      <c r="Y161" s="117">
        <f t="shared" si="67"/>
        <v>0</v>
      </c>
      <c r="Z161" s="116"/>
      <c r="AA161" s="117">
        <f t="shared" si="23"/>
        <v>0</v>
      </c>
      <c r="AB161" s="116"/>
      <c r="AC161" s="117">
        <f t="shared" si="29"/>
        <v>0</v>
      </c>
      <c r="AD161" s="116"/>
      <c r="AE161" s="117">
        <f t="shared" si="24"/>
        <v>0</v>
      </c>
      <c r="AF161" s="116"/>
      <c r="AG161" s="118">
        <f t="shared" si="33"/>
        <v>0</v>
      </c>
      <c r="AH161" s="217"/>
      <c r="AI161" s="220"/>
      <c r="AJ161" s="220"/>
      <c r="AK161" s="150">
        <f t="shared" si="81"/>
        <v>1</v>
      </c>
      <c r="AL161" s="119">
        <f t="shared" si="81"/>
        <v>479138</v>
      </c>
      <c r="AM161" s="120">
        <f t="shared" si="73"/>
        <v>1</v>
      </c>
      <c r="AN161" s="120">
        <v>1</v>
      </c>
      <c r="AO161" s="164">
        <f t="shared" si="74"/>
        <v>0</v>
      </c>
      <c r="AP161" s="150">
        <v>1</v>
      </c>
      <c r="AQ161" s="119">
        <f t="shared" si="75"/>
        <v>479138</v>
      </c>
      <c r="AR161" s="150">
        <f t="shared" si="72"/>
        <v>0</v>
      </c>
      <c r="AS161" s="165">
        <f t="shared" si="76"/>
        <v>0</v>
      </c>
      <c r="AT161" s="181"/>
      <c r="AU161" s="167">
        <f t="shared" si="78"/>
        <v>0</v>
      </c>
      <c r="AV161" s="121"/>
      <c r="AW161" s="121"/>
      <c r="AX161" s="121"/>
      <c r="AY161" s="121"/>
      <c r="AZ161" s="121"/>
      <c r="BA161" s="121"/>
      <c r="BB161" s="121"/>
      <c r="BC161" s="121"/>
      <c r="BD161" s="121"/>
      <c r="BE161" s="121"/>
      <c r="BF161" s="121"/>
      <c r="BG161" s="121"/>
    </row>
    <row r="162" spans="1:59" s="122" customFormat="1" ht="14.25" customHeight="1">
      <c r="A162" s="113">
        <v>6</v>
      </c>
      <c r="B162" s="114" t="s">
        <v>43</v>
      </c>
      <c r="C162" s="115"/>
      <c r="D162" s="116">
        <v>0.2</v>
      </c>
      <c r="E162" s="117">
        <f t="shared" si="83"/>
        <v>479138</v>
      </c>
      <c r="F162" s="116"/>
      <c r="G162" s="117">
        <f t="shared" si="16"/>
        <v>0</v>
      </c>
      <c r="H162" s="116"/>
      <c r="I162" s="117">
        <f t="shared" si="84"/>
        <v>0</v>
      </c>
      <c r="J162" s="116">
        <v>1</v>
      </c>
      <c r="K162" s="117">
        <f t="shared" si="26"/>
        <v>479138</v>
      </c>
      <c r="L162" s="116">
        <v>1</v>
      </c>
      <c r="M162" s="117">
        <f t="shared" si="32"/>
        <v>479138</v>
      </c>
      <c r="N162" s="116"/>
      <c r="O162" s="117">
        <f t="shared" si="19"/>
        <v>0</v>
      </c>
      <c r="P162" s="116"/>
      <c r="Q162" s="117">
        <f t="shared" si="20"/>
        <v>0</v>
      </c>
      <c r="R162" s="116"/>
      <c r="S162" s="117">
        <f t="shared" si="21"/>
        <v>0</v>
      </c>
      <c r="T162" s="116"/>
      <c r="U162" s="117">
        <f t="shared" si="27"/>
        <v>0</v>
      </c>
      <c r="V162" s="116"/>
      <c r="W162" s="117">
        <f t="shared" si="22"/>
        <v>0</v>
      </c>
      <c r="X162" s="116"/>
      <c r="Y162" s="117">
        <f t="shared" si="67"/>
        <v>0</v>
      </c>
      <c r="Z162" s="116"/>
      <c r="AA162" s="117">
        <f t="shared" si="23"/>
        <v>0</v>
      </c>
      <c r="AB162" s="116"/>
      <c r="AC162" s="117">
        <f t="shared" si="29"/>
        <v>0</v>
      </c>
      <c r="AD162" s="116"/>
      <c r="AE162" s="117">
        <f t="shared" si="24"/>
        <v>0</v>
      </c>
      <c r="AF162" s="116"/>
      <c r="AG162" s="118">
        <f t="shared" si="33"/>
        <v>0</v>
      </c>
      <c r="AH162" s="217"/>
      <c r="AI162" s="220"/>
      <c r="AJ162" s="220"/>
      <c r="AK162" s="150">
        <f t="shared" si="81"/>
        <v>1</v>
      </c>
      <c r="AL162" s="119">
        <f t="shared" si="81"/>
        <v>479138</v>
      </c>
      <c r="AM162" s="120">
        <f t="shared" si="73"/>
        <v>1</v>
      </c>
      <c r="AN162" s="120">
        <v>1</v>
      </c>
      <c r="AO162" s="164">
        <f t="shared" si="74"/>
        <v>0</v>
      </c>
      <c r="AP162" s="150">
        <v>1</v>
      </c>
      <c r="AQ162" s="119">
        <f t="shared" si="75"/>
        <v>479138</v>
      </c>
      <c r="AR162" s="150">
        <f t="shared" si="72"/>
        <v>0</v>
      </c>
      <c r="AS162" s="165">
        <f t="shared" si="76"/>
        <v>0</v>
      </c>
      <c r="AT162" s="181"/>
      <c r="AU162" s="167">
        <f t="shared" si="78"/>
        <v>0</v>
      </c>
      <c r="AV162" s="121"/>
      <c r="AW162" s="121"/>
      <c r="AX162" s="121"/>
      <c r="AY162" s="121"/>
      <c r="AZ162" s="121"/>
      <c r="BA162" s="121"/>
      <c r="BB162" s="121"/>
      <c r="BC162" s="121"/>
      <c r="BD162" s="121"/>
      <c r="BE162" s="121"/>
      <c r="BF162" s="121"/>
      <c r="BG162" s="121"/>
    </row>
    <row r="163" spans="1:59" s="122" customFormat="1" ht="15" customHeight="1">
      <c r="A163" s="113">
        <v>7</v>
      </c>
      <c r="B163" s="114" t="s">
        <v>44</v>
      </c>
      <c r="C163" s="115"/>
      <c r="D163" s="116">
        <v>0.05</v>
      </c>
      <c r="E163" s="117">
        <f t="shared" si="83"/>
        <v>119784.5</v>
      </c>
      <c r="F163" s="116"/>
      <c r="G163" s="117">
        <f t="shared" si="16"/>
        <v>0</v>
      </c>
      <c r="H163" s="116"/>
      <c r="I163" s="117">
        <f t="shared" si="84"/>
        <v>0</v>
      </c>
      <c r="J163" s="116"/>
      <c r="K163" s="117">
        <f t="shared" si="26"/>
        <v>0</v>
      </c>
      <c r="L163" s="116"/>
      <c r="M163" s="117">
        <f t="shared" si="32"/>
        <v>0</v>
      </c>
      <c r="N163" s="116">
        <v>0.5</v>
      </c>
      <c r="O163" s="117">
        <f t="shared" si="19"/>
        <v>59892.25</v>
      </c>
      <c r="P163" s="116"/>
      <c r="Q163" s="117">
        <f t="shared" si="20"/>
        <v>0</v>
      </c>
      <c r="R163" s="116"/>
      <c r="S163" s="117">
        <f t="shared" si="21"/>
        <v>0</v>
      </c>
      <c r="T163" s="116"/>
      <c r="U163" s="117">
        <f t="shared" si="27"/>
        <v>0</v>
      </c>
      <c r="V163" s="116"/>
      <c r="W163" s="117">
        <f t="shared" si="22"/>
        <v>0</v>
      </c>
      <c r="X163" s="116"/>
      <c r="Y163" s="117">
        <f t="shared" si="67"/>
        <v>0</v>
      </c>
      <c r="Z163" s="116"/>
      <c r="AA163" s="117">
        <f t="shared" si="23"/>
        <v>0</v>
      </c>
      <c r="AB163" s="116"/>
      <c r="AC163" s="117">
        <f t="shared" si="29"/>
        <v>0</v>
      </c>
      <c r="AD163" s="116">
        <v>0.5</v>
      </c>
      <c r="AE163" s="117">
        <f t="shared" si="24"/>
        <v>59892.25</v>
      </c>
      <c r="AF163" s="116"/>
      <c r="AG163" s="118">
        <f t="shared" si="33"/>
        <v>0</v>
      </c>
      <c r="AH163" s="218"/>
      <c r="AI163" s="221"/>
      <c r="AJ163" s="221"/>
      <c r="AK163" s="150">
        <f t="shared" si="81"/>
        <v>0</v>
      </c>
      <c r="AL163" s="119">
        <f t="shared" si="81"/>
        <v>0</v>
      </c>
      <c r="AM163" s="120">
        <f t="shared" si="73"/>
        <v>0</v>
      </c>
      <c r="AN163" s="120">
        <v>0</v>
      </c>
      <c r="AO163" s="164">
        <f t="shared" si="74"/>
        <v>0</v>
      </c>
      <c r="AP163" s="150">
        <v>0</v>
      </c>
      <c r="AQ163" s="119">
        <f t="shared" si="75"/>
        <v>0</v>
      </c>
      <c r="AR163" s="150">
        <f t="shared" si="72"/>
        <v>0</v>
      </c>
      <c r="AS163" s="165">
        <f t="shared" si="76"/>
        <v>0</v>
      </c>
      <c r="AT163" s="181">
        <f>100%-AK163</f>
        <v>1</v>
      </c>
      <c r="AU163" s="167">
        <f t="shared" si="78"/>
        <v>119784.5</v>
      </c>
      <c r="AV163" s="121"/>
      <c r="AW163" s="121"/>
      <c r="AX163" s="121"/>
      <c r="AY163" s="121"/>
      <c r="AZ163" s="121"/>
      <c r="BA163" s="121"/>
      <c r="BB163" s="121"/>
      <c r="BC163" s="121"/>
      <c r="BD163" s="121"/>
      <c r="BE163" s="121"/>
      <c r="BF163" s="121"/>
      <c r="BG163" s="121"/>
    </row>
    <row r="164" spans="1:59" ht="15" customHeight="1">
      <c r="A164" s="74" t="s">
        <v>114</v>
      </c>
      <c r="B164" s="75" t="s">
        <v>115</v>
      </c>
      <c r="C164" s="76">
        <v>1916552</v>
      </c>
      <c r="D164" s="77"/>
      <c r="E164" s="78"/>
      <c r="F164" s="79"/>
      <c r="G164" s="80">
        <f t="shared" si="16"/>
        <v>0</v>
      </c>
      <c r="H164" s="79"/>
      <c r="I164" s="80"/>
      <c r="J164" s="80"/>
      <c r="K164" s="80">
        <f t="shared" si="26"/>
        <v>0</v>
      </c>
      <c r="L164" s="79"/>
      <c r="M164" s="80">
        <f t="shared" si="32"/>
        <v>0</v>
      </c>
      <c r="N164" s="80"/>
      <c r="O164" s="80">
        <f t="shared" si="19"/>
        <v>0</v>
      </c>
      <c r="P164" s="79"/>
      <c r="Q164" s="80">
        <f t="shared" si="20"/>
        <v>0</v>
      </c>
      <c r="R164" s="80"/>
      <c r="S164" s="80">
        <f t="shared" si="21"/>
        <v>0</v>
      </c>
      <c r="T164" s="79"/>
      <c r="U164" s="80">
        <f t="shared" si="27"/>
        <v>0</v>
      </c>
      <c r="V164" s="80"/>
      <c r="W164" s="80">
        <f t="shared" si="22"/>
        <v>0</v>
      </c>
      <c r="X164" s="79"/>
      <c r="Y164" s="80">
        <f t="shared" si="67"/>
        <v>0</v>
      </c>
      <c r="Z164" s="80"/>
      <c r="AA164" s="80">
        <f t="shared" si="23"/>
        <v>0</v>
      </c>
      <c r="AB164" s="79"/>
      <c r="AC164" s="80">
        <f t="shared" si="29"/>
        <v>0</v>
      </c>
      <c r="AD164" s="80"/>
      <c r="AE164" s="80">
        <f t="shared" si="24"/>
        <v>0</v>
      </c>
      <c r="AF164" s="79"/>
      <c r="AG164" s="81">
        <f t="shared" si="33"/>
        <v>0</v>
      </c>
      <c r="AH164" s="216">
        <f>SUM(E165:E169)</f>
        <v>1916552.0000000002</v>
      </c>
      <c r="AI164" s="219">
        <f>SUM(AC165:AC169)+SUM(Y165:Y169)+SUM(AG165:AG169)</f>
        <v>95827.6</v>
      </c>
      <c r="AJ164" s="222">
        <f>AI164/AH164</f>
        <v>4.9999999999999996E-2</v>
      </c>
      <c r="AK164" s="17">
        <f t="shared" si="81"/>
        <v>0</v>
      </c>
      <c r="AL164" s="23">
        <f t="shared" si="81"/>
        <v>0</v>
      </c>
      <c r="AM164" s="4">
        <f t="shared" si="73"/>
        <v>0</v>
      </c>
      <c r="AN164" s="4">
        <v>0</v>
      </c>
      <c r="AO164" s="136">
        <f t="shared" si="74"/>
        <v>0</v>
      </c>
      <c r="AP164" s="17">
        <v>0</v>
      </c>
      <c r="AQ164" s="23">
        <f t="shared" si="75"/>
        <v>0</v>
      </c>
      <c r="AR164" s="17">
        <f t="shared" si="72"/>
        <v>0</v>
      </c>
      <c r="AS164" s="141">
        <f t="shared" si="76"/>
        <v>0</v>
      </c>
      <c r="AT164" s="158"/>
      <c r="AU164" s="146">
        <f t="shared" si="78"/>
        <v>0</v>
      </c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</row>
    <row r="165" spans="1:59" s="122" customFormat="1" ht="15" customHeight="1">
      <c r="A165" s="113">
        <v>1</v>
      </c>
      <c r="B165" s="114" t="s">
        <v>34</v>
      </c>
      <c r="C165" s="115"/>
      <c r="D165" s="116">
        <v>0.05</v>
      </c>
      <c r="E165" s="117">
        <f t="shared" ref="E165:E169" si="85">+D165*$C$164</f>
        <v>95827.6</v>
      </c>
      <c r="F165" s="116"/>
      <c r="G165" s="117">
        <f t="shared" si="16"/>
        <v>0</v>
      </c>
      <c r="H165" s="116"/>
      <c r="I165" s="117"/>
      <c r="J165" s="116"/>
      <c r="K165" s="117">
        <f t="shared" si="26"/>
        <v>0</v>
      </c>
      <c r="L165" s="116"/>
      <c r="M165" s="117">
        <f t="shared" si="32"/>
        <v>0</v>
      </c>
      <c r="N165" s="116"/>
      <c r="O165" s="117">
        <f t="shared" si="19"/>
        <v>0</v>
      </c>
      <c r="P165" s="116"/>
      <c r="Q165" s="117">
        <f t="shared" si="20"/>
        <v>0</v>
      </c>
      <c r="R165" s="116"/>
      <c r="S165" s="117">
        <f t="shared" si="21"/>
        <v>0</v>
      </c>
      <c r="T165" s="116"/>
      <c r="U165" s="117">
        <f t="shared" si="27"/>
        <v>0</v>
      </c>
      <c r="V165" s="116">
        <v>1</v>
      </c>
      <c r="W165" s="117">
        <f t="shared" si="22"/>
        <v>95827.6</v>
      </c>
      <c r="X165" s="116">
        <v>1</v>
      </c>
      <c r="Y165" s="117">
        <f t="shared" si="67"/>
        <v>95827.6</v>
      </c>
      <c r="Z165" s="116"/>
      <c r="AA165" s="117">
        <f t="shared" si="23"/>
        <v>0</v>
      </c>
      <c r="AB165" s="116"/>
      <c r="AC165" s="117">
        <f t="shared" si="29"/>
        <v>0</v>
      </c>
      <c r="AD165" s="116"/>
      <c r="AE165" s="117">
        <f t="shared" si="24"/>
        <v>0</v>
      </c>
      <c r="AF165" s="116"/>
      <c r="AG165" s="118">
        <f t="shared" si="33"/>
        <v>0</v>
      </c>
      <c r="AH165" s="217"/>
      <c r="AI165" s="220"/>
      <c r="AJ165" s="220"/>
      <c r="AK165" s="150">
        <f t="shared" si="81"/>
        <v>1</v>
      </c>
      <c r="AL165" s="119">
        <f t="shared" si="81"/>
        <v>95827.6</v>
      </c>
      <c r="AM165" s="120">
        <f t="shared" si="73"/>
        <v>1</v>
      </c>
      <c r="AN165" s="120">
        <v>1</v>
      </c>
      <c r="AO165" s="164">
        <f t="shared" si="74"/>
        <v>0</v>
      </c>
      <c r="AP165" s="150">
        <v>1</v>
      </c>
      <c r="AQ165" s="119">
        <f t="shared" si="75"/>
        <v>95827.6</v>
      </c>
      <c r="AR165" s="150">
        <f t="shared" si="72"/>
        <v>0</v>
      </c>
      <c r="AS165" s="165">
        <f t="shared" si="76"/>
        <v>0</v>
      </c>
      <c r="AT165" s="181"/>
      <c r="AU165" s="167">
        <f t="shared" si="78"/>
        <v>0</v>
      </c>
      <c r="AV165" s="121"/>
      <c r="AW165" s="121"/>
      <c r="AX165" s="121"/>
      <c r="AY165" s="121"/>
      <c r="AZ165" s="121"/>
      <c r="BA165" s="121"/>
      <c r="BB165" s="121"/>
      <c r="BC165" s="121"/>
      <c r="BD165" s="121"/>
      <c r="BE165" s="121"/>
      <c r="BF165" s="121"/>
      <c r="BG165" s="121"/>
    </row>
    <row r="166" spans="1:59" s="122" customFormat="1" ht="15" customHeight="1">
      <c r="A166" s="113">
        <v>2</v>
      </c>
      <c r="B166" s="114" t="s">
        <v>47</v>
      </c>
      <c r="C166" s="115"/>
      <c r="D166" s="116">
        <v>0.2</v>
      </c>
      <c r="E166" s="117">
        <f t="shared" si="85"/>
        <v>383310.4</v>
      </c>
      <c r="F166" s="116"/>
      <c r="G166" s="117">
        <f t="shared" si="16"/>
        <v>0</v>
      </c>
      <c r="H166" s="116"/>
      <c r="I166" s="117"/>
      <c r="J166" s="116"/>
      <c r="K166" s="117">
        <f t="shared" si="26"/>
        <v>0</v>
      </c>
      <c r="L166" s="116"/>
      <c r="M166" s="117">
        <f t="shared" si="32"/>
        <v>0</v>
      </c>
      <c r="N166" s="116"/>
      <c r="O166" s="117">
        <f t="shared" si="19"/>
        <v>0</v>
      </c>
      <c r="P166" s="116"/>
      <c r="Q166" s="117">
        <f t="shared" si="20"/>
        <v>0</v>
      </c>
      <c r="R166" s="116"/>
      <c r="S166" s="117">
        <f t="shared" si="21"/>
        <v>0</v>
      </c>
      <c r="T166" s="116"/>
      <c r="U166" s="117">
        <f t="shared" si="27"/>
        <v>0</v>
      </c>
      <c r="V166" s="116">
        <v>0.5</v>
      </c>
      <c r="W166" s="117">
        <f t="shared" si="22"/>
        <v>191655.2</v>
      </c>
      <c r="X166" s="116"/>
      <c r="Y166" s="117">
        <f t="shared" si="67"/>
        <v>0</v>
      </c>
      <c r="Z166" s="116">
        <v>0.5</v>
      </c>
      <c r="AA166" s="117">
        <f t="shared" si="23"/>
        <v>191655.2</v>
      </c>
      <c r="AB166" s="116"/>
      <c r="AC166" s="117">
        <f t="shared" si="29"/>
        <v>0</v>
      </c>
      <c r="AD166" s="116"/>
      <c r="AE166" s="117">
        <f t="shared" si="24"/>
        <v>0</v>
      </c>
      <c r="AF166" s="116"/>
      <c r="AG166" s="118">
        <f t="shared" si="33"/>
        <v>0</v>
      </c>
      <c r="AH166" s="217"/>
      <c r="AI166" s="220"/>
      <c r="AJ166" s="220"/>
      <c r="AK166" s="150">
        <f t="shared" si="81"/>
        <v>0</v>
      </c>
      <c r="AL166" s="119">
        <f t="shared" si="81"/>
        <v>0</v>
      </c>
      <c r="AM166" s="120">
        <f t="shared" si="73"/>
        <v>0</v>
      </c>
      <c r="AN166" s="120">
        <v>0</v>
      </c>
      <c r="AO166" s="164">
        <f t="shared" si="74"/>
        <v>0</v>
      </c>
      <c r="AP166" s="150">
        <v>0</v>
      </c>
      <c r="AQ166" s="119">
        <f t="shared" si="75"/>
        <v>0</v>
      </c>
      <c r="AR166" s="150">
        <f t="shared" si="72"/>
        <v>0</v>
      </c>
      <c r="AS166" s="165">
        <f t="shared" si="76"/>
        <v>0</v>
      </c>
      <c r="AT166" s="181"/>
      <c r="AU166" s="167">
        <f t="shared" si="78"/>
        <v>0</v>
      </c>
      <c r="AV166" s="121"/>
      <c r="AW166" s="121"/>
      <c r="AX166" s="121"/>
      <c r="AY166" s="121"/>
      <c r="AZ166" s="121"/>
      <c r="BA166" s="121"/>
      <c r="BB166" s="121"/>
      <c r="BC166" s="121"/>
      <c r="BD166" s="121"/>
      <c r="BE166" s="121"/>
      <c r="BF166" s="121"/>
      <c r="BG166" s="121"/>
    </row>
    <row r="167" spans="1:59" s="122" customFormat="1" ht="15" customHeight="1">
      <c r="A167" s="113">
        <v>3</v>
      </c>
      <c r="B167" s="114" t="s">
        <v>48</v>
      </c>
      <c r="C167" s="115"/>
      <c r="D167" s="116">
        <v>0.3</v>
      </c>
      <c r="E167" s="117">
        <f t="shared" si="85"/>
        <v>574965.6</v>
      </c>
      <c r="F167" s="116"/>
      <c r="G167" s="117">
        <f t="shared" si="16"/>
        <v>0</v>
      </c>
      <c r="H167" s="116"/>
      <c r="I167" s="117"/>
      <c r="J167" s="116"/>
      <c r="K167" s="117">
        <f t="shared" si="26"/>
        <v>0</v>
      </c>
      <c r="L167" s="116"/>
      <c r="M167" s="117">
        <f t="shared" si="32"/>
        <v>0</v>
      </c>
      <c r="N167" s="116"/>
      <c r="O167" s="117">
        <f t="shared" si="19"/>
        <v>0</v>
      </c>
      <c r="P167" s="116"/>
      <c r="Q167" s="117">
        <f t="shared" si="20"/>
        <v>0</v>
      </c>
      <c r="R167" s="116"/>
      <c r="S167" s="117">
        <f t="shared" si="21"/>
        <v>0</v>
      </c>
      <c r="T167" s="116"/>
      <c r="U167" s="117">
        <f t="shared" si="27"/>
        <v>0</v>
      </c>
      <c r="V167" s="116"/>
      <c r="W167" s="117">
        <f t="shared" si="22"/>
        <v>0</v>
      </c>
      <c r="X167" s="116"/>
      <c r="Y167" s="117">
        <f t="shared" si="67"/>
        <v>0</v>
      </c>
      <c r="Z167" s="116">
        <v>1</v>
      </c>
      <c r="AA167" s="117">
        <f t="shared" si="23"/>
        <v>574965.6</v>
      </c>
      <c r="AB167" s="116"/>
      <c r="AC167" s="117">
        <f t="shared" si="29"/>
        <v>0</v>
      </c>
      <c r="AD167" s="116"/>
      <c r="AE167" s="117">
        <f t="shared" si="24"/>
        <v>0</v>
      </c>
      <c r="AF167" s="116"/>
      <c r="AG167" s="118">
        <f t="shared" si="33"/>
        <v>0</v>
      </c>
      <c r="AH167" s="217"/>
      <c r="AI167" s="220"/>
      <c r="AJ167" s="220"/>
      <c r="AK167" s="150">
        <f t="shared" si="81"/>
        <v>0</v>
      </c>
      <c r="AL167" s="119">
        <f t="shared" si="81"/>
        <v>0</v>
      </c>
      <c r="AM167" s="120">
        <f t="shared" si="73"/>
        <v>0</v>
      </c>
      <c r="AN167" s="120">
        <v>0</v>
      </c>
      <c r="AO167" s="164">
        <f t="shared" si="74"/>
        <v>0</v>
      </c>
      <c r="AP167" s="150">
        <v>0</v>
      </c>
      <c r="AQ167" s="119">
        <f t="shared" si="75"/>
        <v>0</v>
      </c>
      <c r="AR167" s="150">
        <f t="shared" si="72"/>
        <v>0</v>
      </c>
      <c r="AS167" s="165">
        <f t="shared" si="76"/>
        <v>0</v>
      </c>
      <c r="AT167" s="181"/>
      <c r="AU167" s="167">
        <f t="shared" si="78"/>
        <v>0</v>
      </c>
      <c r="AV167" s="121"/>
      <c r="AW167" s="121"/>
      <c r="AX167" s="121"/>
      <c r="AY167" s="121"/>
      <c r="AZ167" s="121"/>
      <c r="BA167" s="121"/>
      <c r="BB167" s="121"/>
      <c r="BC167" s="121"/>
      <c r="BD167" s="121"/>
      <c r="BE167" s="121"/>
      <c r="BF167" s="121"/>
      <c r="BG167" s="121"/>
    </row>
    <row r="168" spans="1:59" s="122" customFormat="1" ht="15" customHeight="1">
      <c r="A168" s="113">
        <v>4</v>
      </c>
      <c r="B168" s="114" t="s">
        <v>116</v>
      </c>
      <c r="C168" s="115"/>
      <c r="D168" s="116">
        <v>0.4</v>
      </c>
      <c r="E168" s="117">
        <f t="shared" si="85"/>
        <v>766620.8</v>
      </c>
      <c r="F168" s="116"/>
      <c r="G168" s="117">
        <f t="shared" si="16"/>
        <v>0</v>
      </c>
      <c r="H168" s="116"/>
      <c r="I168" s="117"/>
      <c r="J168" s="116"/>
      <c r="K168" s="117">
        <f t="shared" si="26"/>
        <v>0</v>
      </c>
      <c r="L168" s="116"/>
      <c r="M168" s="117">
        <f t="shared" si="32"/>
        <v>0</v>
      </c>
      <c r="N168" s="116"/>
      <c r="O168" s="117">
        <f t="shared" si="19"/>
        <v>0</v>
      </c>
      <c r="P168" s="116"/>
      <c r="Q168" s="117">
        <f t="shared" si="20"/>
        <v>0</v>
      </c>
      <c r="R168" s="116"/>
      <c r="S168" s="117">
        <f t="shared" si="21"/>
        <v>0</v>
      </c>
      <c r="T168" s="116"/>
      <c r="U168" s="117">
        <f t="shared" si="27"/>
        <v>0</v>
      </c>
      <c r="V168" s="116"/>
      <c r="W168" s="117">
        <f t="shared" si="22"/>
        <v>0</v>
      </c>
      <c r="X168" s="116"/>
      <c r="Y168" s="117">
        <f t="shared" si="67"/>
        <v>0</v>
      </c>
      <c r="Z168" s="116">
        <v>1</v>
      </c>
      <c r="AA168" s="117">
        <f t="shared" si="23"/>
        <v>766620.8</v>
      </c>
      <c r="AB168" s="116"/>
      <c r="AC168" s="117">
        <f t="shared" si="29"/>
        <v>0</v>
      </c>
      <c r="AD168" s="116"/>
      <c r="AE168" s="117">
        <f t="shared" si="24"/>
        <v>0</v>
      </c>
      <c r="AF168" s="116"/>
      <c r="AG168" s="118">
        <f t="shared" si="33"/>
        <v>0</v>
      </c>
      <c r="AH168" s="217"/>
      <c r="AI168" s="220"/>
      <c r="AJ168" s="220"/>
      <c r="AK168" s="150">
        <f t="shared" ref="AK168:AL183" si="86">F168+H168+L168+P168+T168+X168+AB168+AF168</f>
        <v>0</v>
      </c>
      <c r="AL168" s="119">
        <f t="shared" si="86"/>
        <v>0</v>
      </c>
      <c r="AM168" s="120">
        <f t="shared" si="73"/>
        <v>0</v>
      </c>
      <c r="AN168" s="120">
        <v>0</v>
      </c>
      <c r="AO168" s="164">
        <f t="shared" si="74"/>
        <v>0</v>
      </c>
      <c r="AP168" s="150">
        <v>0</v>
      </c>
      <c r="AQ168" s="119">
        <f t="shared" si="75"/>
        <v>0</v>
      </c>
      <c r="AR168" s="150">
        <f t="shared" si="72"/>
        <v>0</v>
      </c>
      <c r="AS168" s="165">
        <f t="shared" si="76"/>
        <v>0</v>
      </c>
      <c r="AT168" s="181"/>
      <c r="AU168" s="167">
        <f t="shared" si="78"/>
        <v>0</v>
      </c>
      <c r="AV168" s="121"/>
      <c r="AW168" s="121"/>
      <c r="AX168" s="121"/>
      <c r="AY168" s="121"/>
      <c r="AZ168" s="121"/>
      <c r="BA168" s="121"/>
      <c r="BB168" s="121"/>
      <c r="BC168" s="121"/>
      <c r="BD168" s="121"/>
      <c r="BE168" s="121"/>
      <c r="BF168" s="121"/>
      <c r="BG168" s="121"/>
    </row>
    <row r="169" spans="1:59" s="122" customFormat="1" ht="15" customHeight="1">
      <c r="A169" s="113">
        <v>5</v>
      </c>
      <c r="B169" s="114" t="s">
        <v>117</v>
      </c>
      <c r="C169" s="115"/>
      <c r="D169" s="116">
        <v>0.05</v>
      </c>
      <c r="E169" s="117">
        <f t="shared" si="85"/>
        <v>95827.6</v>
      </c>
      <c r="F169" s="116"/>
      <c r="G169" s="117">
        <f t="shared" si="16"/>
        <v>0</v>
      </c>
      <c r="H169" s="116"/>
      <c r="I169" s="117"/>
      <c r="J169" s="116"/>
      <c r="K169" s="117">
        <f t="shared" si="26"/>
        <v>0</v>
      </c>
      <c r="L169" s="116"/>
      <c r="M169" s="117">
        <f t="shared" si="32"/>
        <v>0</v>
      </c>
      <c r="N169" s="116"/>
      <c r="O169" s="117">
        <f t="shared" si="19"/>
        <v>0</v>
      </c>
      <c r="P169" s="116"/>
      <c r="Q169" s="117">
        <f t="shared" si="20"/>
        <v>0</v>
      </c>
      <c r="R169" s="116"/>
      <c r="S169" s="117">
        <f t="shared" si="21"/>
        <v>0</v>
      </c>
      <c r="T169" s="116"/>
      <c r="U169" s="117">
        <f t="shared" si="27"/>
        <v>0</v>
      </c>
      <c r="V169" s="116"/>
      <c r="W169" s="117">
        <f t="shared" si="22"/>
        <v>0</v>
      </c>
      <c r="X169" s="116"/>
      <c r="Y169" s="117">
        <f t="shared" si="67"/>
        <v>0</v>
      </c>
      <c r="Z169" s="116"/>
      <c r="AA169" s="117">
        <f t="shared" si="23"/>
        <v>0</v>
      </c>
      <c r="AB169" s="116"/>
      <c r="AC169" s="117">
        <f t="shared" si="29"/>
        <v>0</v>
      </c>
      <c r="AD169" s="116">
        <v>1</v>
      </c>
      <c r="AE169" s="117">
        <f t="shared" si="24"/>
        <v>95827.6</v>
      </c>
      <c r="AF169" s="116"/>
      <c r="AG169" s="118">
        <f t="shared" si="33"/>
        <v>0</v>
      </c>
      <c r="AH169" s="218"/>
      <c r="AI169" s="221"/>
      <c r="AJ169" s="221"/>
      <c r="AK169" s="150">
        <f t="shared" si="86"/>
        <v>0</v>
      </c>
      <c r="AL169" s="119">
        <f t="shared" si="86"/>
        <v>0</v>
      </c>
      <c r="AM169" s="120">
        <f t="shared" si="73"/>
        <v>0</v>
      </c>
      <c r="AN169" s="120">
        <v>0</v>
      </c>
      <c r="AO169" s="164">
        <f t="shared" si="74"/>
        <v>0</v>
      </c>
      <c r="AP169" s="150">
        <v>0</v>
      </c>
      <c r="AQ169" s="119">
        <f t="shared" si="75"/>
        <v>0</v>
      </c>
      <c r="AR169" s="150">
        <f t="shared" si="72"/>
        <v>0</v>
      </c>
      <c r="AS169" s="165">
        <f t="shared" si="76"/>
        <v>0</v>
      </c>
      <c r="AT169" s="181"/>
      <c r="AU169" s="167">
        <f t="shared" si="78"/>
        <v>0</v>
      </c>
      <c r="AV169" s="121"/>
      <c r="AW169" s="121"/>
      <c r="AX169" s="121"/>
      <c r="AY169" s="121"/>
      <c r="AZ169" s="121"/>
      <c r="BA169" s="121"/>
      <c r="BB169" s="121"/>
      <c r="BC169" s="121"/>
      <c r="BD169" s="121"/>
      <c r="BE169" s="121"/>
      <c r="BF169" s="121"/>
      <c r="BG169" s="121"/>
    </row>
    <row r="170" spans="1:59" ht="15" customHeight="1">
      <c r="A170" s="74" t="s">
        <v>118</v>
      </c>
      <c r="B170" s="75" t="s">
        <v>119</v>
      </c>
      <c r="C170" s="76">
        <f>2874828/2</f>
        <v>1437414</v>
      </c>
      <c r="D170" s="77"/>
      <c r="E170" s="78"/>
      <c r="F170" s="79"/>
      <c r="G170" s="80">
        <f t="shared" si="16"/>
        <v>0</v>
      </c>
      <c r="H170" s="79"/>
      <c r="I170" s="80"/>
      <c r="J170" s="80"/>
      <c r="K170" s="80">
        <f t="shared" si="26"/>
        <v>0</v>
      </c>
      <c r="L170" s="79"/>
      <c r="M170" s="80">
        <f t="shared" si="32"/>
        <v>0</v>
      </c>
      <c r="N170" s="80"/>
      <c r="O170" s="80">
        <f t="shared" si="19"/>
        <v>0</v>
      </c>
      <c r="P170" s="79"/>
      <c r="Q170" s="80">
        <f t="shared" si="20"/>
        <v>0</v>
      </c>
      <c r="R170" s="80"/>
      <c r="S170" s="80">
        <f t="shared" si="21"/>
        <v>0</v>
      </c>
      <c r="T170" s="79"/>
      <c r="U170" s="80">
        <f t="shared" si="27"/>
        <v>0</v>
      </c>
      <c r="V170" s="80"/>
      <c r="W170" s="80">
        <f t="shared" si="22"/>
        <v>0</v>
      </c>
      <c r="X170" s="79"/>
      <c r="Y170" s="80">
        <f t="shared" si="67"/>
        <v>0</v>
      </c>
      <c r="Z170" s="80"/>
      <c r="AA170" s="80">
        <f t="shared" si="23"/>
        <v>0</v>
      </c>
      <c r="AB170" s="79"/>
      <c r="AC170" s="80">
        <f t="shared" si="29"/>
        <v>0</v>
      </c>
      <c r="AD170" s="80"/>
      <c r="AE170" s="80">
        <f t="shared" si="24"/>
        <v>0</v>
      </c>
      <c r="AF170" s="79"/>
      <c r="AG170" s="81">
        <f t="shared" si="33"/>
        <v>0</v>
      </c>
      <c r="AH170" s="216">
        <f>SUM(E171:E174)</f>
        <v>1437414</v>
      </c>
      <c r="AI170" s="219">
        <f>SUM(AC171:AC174)+SUM(Y171:Y174)+SUM(AG171:AG174)</f>
        <v>71870.7</v>
      </c>
      <c r="AJ170" s="222">
        <f>AI170/AH170</f>
        <v>4.9999999999999996E-2</v>
      </c>
      <c r="AK170" s="17">
        <f t="shared" si="86"/>
        <v>0</v>
      </c>
      <c r="AL170" s="23">
        <f t="shared" si="86"/>
        <v>0</v>
      </c>
      <c r="AM170" s="4">
        <f t="shared" si="73"/>
        <v>0</v>
      </c>
      <c r="AN170" s="4">
        <v>0</v>
      </c>
      <c r="AO170" s="136">
        <f t="shared" si="74"/>
        <v>0</v>
      </c>
      <c r="AP170" s="17">
        <v>0</v>
      </c>
      <c r="AQ170" s="23">
        <f t="shared" si="75"/>
        <v>0</v>
      </c>
      <c r="AR170" s="17">
        <f t="shared" si="72"/>
        <v>0</v>
      </c>
      <c r="AS170" s="141">
        <f t="shared" si="76"/>
        <v>0</v>
      </c>
      <c r="AT170" s="158"/>
      <c r="AU170" s="146">
        <f t="shared" si="78"/>
        <v>0</v>
      </c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</row>
    <row r="171" spans="1:59" s="122" customFormat="1" ht="14.25" customHeight="1">
      <c r="A171" s="113">
        <v>1</v>
      </c>
      <c r="B171" s="114" t="s">
        <v>34</v>
      </c>
      <c r="C171" s="115"/>
      <c r="D171" s="116">
        <v>0.05</v>
      </c>
      <c r="E171" s="117">
        <f t="shared" ref="E171:E174" si="87">+D171*$C$170</f>
        <v>71870.7</v>
      </c>
      <c r="F171" s="116"/>
      <c r="G171" s="117">
        <f t="shared" si="16"/>
        <v>0</v>
      </c>
      <c r="H171" s="116"/>
      <c r="I171" s="117"/>
      <c r="J171" s="116"/>
      <c r="K171" s="117">
        <f t="shared" si="26"/>
        <v>0</v>
      </c>
      <c r="L171" s="116"/>
      <c r="M171" s="117">
        <f t="shared" si="32"/>
        <v>0</v>
      </c>
      <c r="N171" s="116"/>
      <c r="O171" s="117">
        <f t="shared" si="19"/>
        <v>0</v>
      </c>
      <c r="P171" s="116"/>
      <c r="Q171" s="117">
        <f t="shared" si="20"/>
        <v>0</v>
      </c>
      <c r="R171" s="116"/>
      <c r="S171" s="117">
        <f t="shared" si="21"/>
        <v>0</v>
      </c>
      <c r="T171" s="116"/>
      <c r="U171" s="117">
        <f t="shared" si="27"/>
        <v>0</v>
      </c>
      <c r="V171" s="116">
        <v>1</v>
      </c>
      <c r="W171" s="117">
        <f t="shared" si="22"/>
        <v>71870.7</v>
      </c>
      <c r="X171" s="116">
        <v>1</v>
      </c>
      <c r="Y171" s="117">
        <f t="shared" si="67"/>
        <v>71870.7</v>
      </c>
      <c r="Z171" s="116"/>
      <c r="AA171" s="117">
        <f t="shared" si="23"/>
        <v>0</v>
      </c>
      <c r="AB171" s="116"/>
      <c r="AC171" s="117">
        <f t="shared" si="29"/>
        <v>0</v>
      </c>
      <c r="AD171" s="116"/>
      <c r="AE171" s="117">
        <f t="shared" si="24"/>
        <v>0</v>
      </c>
      <c r="AF171" s="116"/>
      <c r="AG171" s="118">
        <f t="shared" si="33"/>
        <v>0</v>
      </c>
      <c r="AH171" s="217"/>
      <c r="AI171" s="220"/>
      <c r="AJ171" s="220"/>
      <c r="AK171" s="150">
        <f t="shared" si="86"/>
        <v>1</v>
      </c>
      <c r="AL171" s="119">
        <f t="shared" si="86"/>
        <v>71870.7</v>
      </c>
      <c r="AM171" s="120">
        <f t="shared" si="73"/>
        <v>1</v>
      </c>
      <c r="AN171" s="120">
        <v>1</v>
      </c>
      <c r="AO171" s="164">
        <f t="shared" si="74"/>
        <v>0</v>
      </c>
      <c r="AP171" s="150">
        <v>1</v>
      </c>
      <c r="AQ171" s="119">
        <f t="shared" si="75"/>
        <v>71870.7</v>
      </c>
      <c r="AR171" s="150">
        <f t="shared" si="72"/>
        <v>0</v>
      </c>
      <c r="AS171" s="165">
        <f t="shared" si="76"/>
        <v>0</v>
      </c>
      <c r="AT171" s="181"/>
      <c r="AU171" s="167">
        <f t="shared" si="78"/>
        <v>0</v>
      </c>
      <c r="AV171" s="121"/>
      <c r="AW171" s="121"/>
      <c r="AX171" s="121"/>
      <c r="AY171" s="121"/>
      <c r="AZ171" s="121"/>
      <c r="BA171" s="121"/>
      <c r="BB171" s="121"/>
      <c r="BC171" s="121"/>
      <c r="BD171" s="121"/>
      <c r="BE171" s="121"/>
      <c r="BF171" s="121"/>
      <c r="BG171" s="121"/>
    </row>
    <row r="172" spans="1:59" s="122" customFormat="1" ht="15" customHeight="1">
      <c r="A172" s="113">
        <v>2</v>
      </c>
      <c r="B172" s="114" t="s">
        <v>47</v>
      </c>
      <c r="C172" s="115"/>
      <c r="D172" s="116">
        <v>0.2</v>
      </c>
      <c r="E172" s="117">
        <f t="shared" si="87"/>
        <v>287482.8</v>
      </c>
      <c r="F172" s="116"/>
      <c r="G172" s="117">
        <f t="shared" si="16"/>
        <v>0</v>
      </c>
      <c r="H172" s="116"/>
      <c r="I172" s="117"/>
      <c r="J172" s="116"/>
      <c r="K172" s="117">
        <f t="shared" si="26"/>
        <v>0</v>
      </c>
      <c r="L172" s="116"/>
      <c r="M172" s="117">
        <f t="shared" si="32"/>
        <v>0</v>
      </c>
      <c r="N172" s="116"/>
      <c r="O172" s="117">
        <f t="shared" si="19"/>
        <v>0</v>
      </c>
      <c r="P172" s="116"/>
      <c r="Q172" s="117">
        <f t="shared" si="20"/>
        <v>0</v>
      </c>
      <c r="R172" s="116"/>
      <c r="S172" s="117">
        <f t="shared" si="21"/>
        <v>0</v>
      </c>
      <c r="T172" s="116"/>
      <c r="U172" s="117">
        <f t="shared" si="27"/>
        <v>0</v>
      </c>
      <c r="V172" s="116">
        <v>1</v>
      </c>
      <c r="W172" s="117">
        <f t="shared" si="22"/>
        <v>287482.8</v>
      </c>
      <c r="X172" s="116"/>
      <c r="Y172" s="117">
        <f t="shared" si="67"/>
        <v>0</v>
      </c>
      <c r="Z172" s="116"/>
      <c r="AA172" s="117">
        <f t="shared" si="23"/>
        <v>0</v>
      </c>
      <c r="AB172" s="116"/>
      <c r="AC172" s="117">
        <f t="shared" si="29"/>
        <v>0</v>
      </c>
      <c r="AD172" s="116"/>
      <c r="AE172" s="117">
        <f t="shared" si="24"/>
        <v>0</v>
      </c>
      <c r="AF172" s="116"/>
      <c r="AG172" s="118">
        <f t="shared" si="33"/>
        <v>0</v>
      </c>
      <c r="AH172" s="217"/>
      <c r="AI172" s="220"/>
      <c r="AJ172" s="220"/>
      <c r="AK172" s="150">
        <f t="shared" si="86"/>
        <v>0</v>
      </c>
      <c r="AL172" s="119">
        <f t="shared" si="86"/>
        <v>0</v>
      </c>
      <c r="AM172" s="120">
        <f t="shared" si="73"/>
        <v>0</v>
      </c>
      <c r="AN172" s="120">
        <v>0</v>
      </c>
      <c r="AO172" s="164">
        <f t="shared" si="74"/>
        <v>0</v>
      </c>
      <c r="AP172" s="150">
        <v>0</v>
      </c>
      <c r="AQ172" s="119">
        <f t="shared" si="75"/>
        <v>0</v>
      </c>
      <c r="AR172" s="150">
        <f t="shared" si="72"/>
        <v>0</v>
      </c>
      <c r="AS172" s="165">
        <f t="shared" si="76"/>
        <v>0</v>
      </c>
      <c r="AT172" s="181"/>
      <c r="AU172" s="167">
        <f t="shared" si="78"/>
        <v>0</v>
      </c>
      <c r="AV172" s="121"/>
      <c r="AW172" s="121"/>
      <c r="AX172" s="121"/>
      <c r="AY172" s="121"/>
      <c r="AZ172" s="121"/>
      <c r="BA172" s="121"/>
      <c r="BB172" s="121"/>
      <c r="BC172" s="121"/>
      <c r="BD172" s="121"/>
      <c r="BE172" s="121"/>
      <c r="BF172" s="121"/>
      <c r="BG172" s="121"/>
    </row>
    <row r="173" spans="1:59" s="122" customFormat="1" ht="15" customHeight="1">
      <c r="A173" s="113">
        <v>3</v>
      </c>
      <c r="B173" s="114" t="s">
        <v>48</v>
      </c>
      <c r="C173" s="115"/>
      <c r="D173" s="116">
        <v>0.3</v>
      </c>
      <c r="E173" s="117">
        <f t="shared" si="87"/>
        <v>431224.2</v>
      </c>
      <c r="F173" s="116"/>
      <c r="G173" s="117">
        <f t="shared" si="16"/>
        <v>0</v>
      </c>
      <c r="H173" s="116"/>
      <c r="I173" s="117"/>
      <c r="J173" s="116"/>
      <c r="K173" s="117">
        <f t="shared" si="26"/>
        <v>0</v>
      </c>
      <c r="L173" s="116"/>
      <c r="M173" s="117">
        <f t="shared" si="32"/>
        <v>0</v>
      </c>
      <c r="N173" s="116"/>
      <c r="O173" s="117">
        <f t="shared" si="19"/>
        <v>0</v>
      </c>
      <c r="P173" s="116"/>
      <c r="Q173" s="117">
        <f t="shared" si="20"/>
        <v>0</v>
      </c>
      <c r="R173" s="116"/>
      <c r="S173" s="117">
        <f t="shared" si="21"/>
        <v>0</v>
      </c>
      <c r="T173" s="116"/>
      <c r="U173" s="117">
        <f t="shared" si="27"/>
        <v>0</v>
      </c>
      <c r="V173" s="116">
        <v>1</v>
      </c>
      <c r="W173" s="117">
        <f t="shared" si="22"/>
        <v>431224.2</v>
      </c>
      <c r="X173" s="116"/>
      <c r="Y173" s="117">
        <f t="shared" si="67"/>
        <v>0</v>
      </c>
      <c r="Z173" s="116"/>
      <c r="AA173" s="117">
        <f t="shared" si="23"/>
        <v>0</v>
      </c>
      <c r="AB173" s="116"/>
      <c r="AC173" s="117">
        <f t="shared" si="29"/>
        <v>0</v>
      </c>
      <c r="AD173" s="116"/>
      <c r="AE173" s="117">
        <f t="shared" si="24"/>
        <v>0</v>
      </c>
      <c r="AF173" s="116"/>
      <c r="AG173" s="118">
        <f t="shared" si="33"/>
        <v>0</v>
      </c>
      <c r="AH173" s="217"/>
      <c r="AI173" s="220"/>
      <c r="AJ173" s="220"/>
      <c r="AK173" s="150">
        <f t="shared" si="86"/>
        <v>0</v>
      </c>
      <c r="AL173" s="119">
        <f t="shared" si="86"/>
        <v>0</v>
      </c>
      <c r="AM173" s="120">
        <f t="shared" si="73"/>
        <v>0</v>
      </c>
      <c r="AN173" s="120">
        <v>0</v>
      </c>
      <c r="AO173" s="164">
        <f t="shared" si="74"/>
        <v>0</v>
      </c>
      <c r="AP173" s="150">
        <v>0</v>
      </c>
      <c r="AQ173" s="119">
        <f t="shared" si="75"/>
        <v>0</v>
      </c>
      <c r="AR173" s="150">
        <f t="shared" si="72"/>
        <v>0</v>
      </c>
      <c r="AS173" s="165">
        <f t="shared" si="76"/>
        <v>0</v>
      </c>
      <c r="AT173" s="181"/>
      <c r="AU173" s="167">
        <f t="shared" si="78"/>
        <v>0</v>
      </c>
      <c r="AV173" s="121"/>
      <c r="AW173" s="121"/>
      <c r="AX173" s="121"/>
      <c r="AY173" s="121"/>
      <c r="AZ173" s="121"/>
      <c r="BA173" s="121"/>
      <c r="BB173" s="121"/>
      <c r="BC173" s="121"/>
      <c r="BD173" s="121"/>
      <c r="BE173" s="121"/>
      <c r="BF173" s="121"/>
      <c r="BG173" s="121"/>
    </row>
    <row r="174" spans="1:59" s="122" customFormat="1" ht="15" customHeight="1">
      <c r="A174" s="113">
        <v>4</v>
      </c>
      <c r="B174" s="114" t="s">
        <v>116</v>
      </c>
      <c r="C174" s="115"/>
      <c r="D174" s="116">
        <v>0.45</v>
      </c>
      <c r="E174" s="117">
        <f t="shared" si="87"/>
        <v>646836.30000000005</v>
      </c>
      <c r="F174" s="116"/>
      <c r="G174" s="117">
        <f t="shared" si="16"/>
        <v>0</v>
      </c>
      <c r="H174" s="116"/>
      <c r="I174" s="117"/>
      <c r="J174" s="116"/>
      <c r="K174" s="117">
        <f t="shared" si="26"/>
        <v>0</v>
      </c>
      <c r="L174" s="116"/>
      <c r="M174" s="117">
        <f t="shared" si="32"/>
        <v>0</v>
      </c>
      <c r="N174" s="116"/>
      <c r="O174" s="117">
        <f t="shared" si="19"/>
        <v>0</v>
      </c>
      <c r="P174" s="116"/>
      <c r="Q174" s="117">
        <f t="shared" si="20"/>
        <v>0</v>
      </c>
      <c r="R174" s="116"/>
      <c r="S174" s="117">
        <f t="shared" si="21"/>
        <v>0</v>
      </c>
      <c r="T174" s="116"/>
      <c r="U174" s="117">
        <f t="shared" si="27"/>
        <v>0</v>
      </c>
      <c r="V174" s="116"/>
      <c r="W174" s="117">
        <f t="shared" si="22"/>
        <v>0</v>
      </c>
      <c r="X174" s="116"/>
      <c r="Y174" s="117">
        <f t="shared" si="67"/>
        <v>0</v>
      </c>
      <c r="Z174" s="116">
        <v>0.5</v>
      </c>
      <c r="AA174" s="117">
        <f t="shared" si="23"/>
        <v>323418.15000000002</v>
      </c>
      <c r="AB174" s="116"/>
      <c r="AC174" s="117">
        <f t="shared" si="29"/>
        <v>0</v>
      </c>
      <c r="AD174" s="116">
        <v>0.5</v>
      </c>
      <c r="AE174" s="117">
        <f t="shared" si="24"/>
        <v>323418.15000000002</v>
      </c>
      <c r="AF174" s="116"/>
      <c r="AG174" s="118">
        <f t="shared" si="33"/>
        <v>0</v>
      </c>
      <c r="AH174" s="218"/>
      <c r="AI174" s="221"/>
      <c r="AJ174" s="221"/>
      <c r="AK174" s="150">
        <f t="shared" si="86"/>
        <v>0</v>
      </c>
      <c r="AL174" s="119">
        <f t="shared" si="86"/>
        <v>0</v>
      </c>
      <c r="AM174" s="120">
        <f t="shared" si="73"/>
        <v>0</v>
      </c>
      <c r="AN174" s="120">
        <v>0</v>
      </c>
      <c r="AO174" s="164">
        <f t="shared" si="74"/>
        <v>0</v>
      </c>
      <c r="AP174" s="150">
        <v>0</v>
      </c>
      <c r="AQ174" s="119">
        <f t="shared" si="75"/>
        <v>0</v>
      </c>
      <c r="AR174" s="150">
        <f t="shared" si="72"/>
        <v>0</v>
      </c>
      <c r="AS174" s="165">
        <f t="shared" si="76"/>
        <v>0</v>
      </c>
      <c r="AT174" s="181"/>
      <c r="AU174" s="167">
        <f t="shared" si="78"/>
        <v>0</v>
      </c>
      <c r="AV174" s="121"/>
      <c r="AW174" s="121"/>
      <c r="AX174" s="121"/>
      <c r="AY174" s="121"/>
      <c r="AZ174" s="121"/>
      <c r="BA174" s="121"/>
      <c r="BB174" s="121"/>
      <c r="BC174" s="121"/>
      <c r="BD174" s="121"/>
      <c r="BE174" s="121"/>
      <c r="BF174" s="121"/>
      <c r="BG174" s="121"/>
    </row>
    <row r="175" spans="1:59" ht="15" customHeight="1">
      <c r="A175" s="74" t="s">
        <v>120</v>
      </c>
      <c r="B175" s="75" t="s">
        <v>121</v>
      </c>
      <c r="C175" s="76">
        <v>1437414</v>
      </c>
      <c r="D175" s="83"/>
      <c r="E175" s="78"/>
      <c r="F175" s="79"/>
      <c r="G175" s="80">
        <f t="shared" si="16"/>
        <v>0</v>
      </c>
      <c r="H175" s="79"/>
      <c r="I175" s="80"/>
      <c r="J175" s="80"/>
      <c r="K175" s="80">
        <f t="shared" si="26"/>
        <v>0</v>
      </c>
      <c r="L175" s="79"/>
      <c r="M175" s="80">
        <f t="shared" si="32"/>
        <v>0</v>
      </c>
      <c r="N175" s="80"/>
      <c r="O175" s="80">
        <f t="shared" si="19"/>
        <v>0</v>
      </c>
      <c r="P175" s="79"/>
      <c r="Q175" s="80">
        <f t="shared" si="20"/>
        <v>0</v>
      </c>
      <c r="R175" s="80"/>
      <c r="S175" s="80">
        <f t="shared" si="21"/>
        <v>0</v>
      </c>
      <c r="T175" s="79"/>
      <c r="U175" s="80">
        <f t="shared" si="27"/>
        <v>0</v>
      </c>
      <c r="V175" s="80"/>
      <c r="W175" s="80">
        <f t="shared" si="22"/>
        <v>0</v>
      </c>
      <c r="X175" s="79"/>
      <c r="Y175" s="80">
        <f t="shared" si="67"/>
        <v>0</v>
      </c>
      <c r="Z175" s="80"/>
      <c r="AA175" s="80">
        <f t="shared" si="23"/>
        <v>0</v>
      </c>
      <c r="AB175" s="79"/>
      <c r="AC175" s="80">
        <f t="shared" si="29"/>
        <v>0</v>
      </c>
      <c r="AD175" s="80"/>
      <c r="AE175" s="80">
        <f t="shared" si="24"/>
        <v>0</v>
      </c>
      <c r="AF175" s="79"/>
      <c r="AG175" s="81">
        <f t="shared" si="33"/>
        <v>0</v>
      </c>
      <c r="AH175" s="216">
        <f>SUM(E176:E179)</f>
        <v>1437414</v>
      </c>
      <c r="AI175" s="219">
        <f>SUM(AC176:AC179)+SUM(Y176:Y179)+SUM(AG176:AG179)</f>
        <v>71870.7</v>
      </c>
      <c r="AJ175" s="222">
        <f>AI175/AH175</f>
        <v>4.9999999999999996E-2</v>
      </c>
      <c r="AK175" s="17">
        <f t="shared" si="86"/>
        <v>0</v>
      </c>
      <c r="AL175" s="23">
        <f t="shared" si="86"/>
        <v>0</v>
      </c>
      <c r="AM175" s="4">
        <f t="shared" si="73"/>
        <v>0</v>
      </c>
      <c r="AN175" s="4">
        <v>0</v>
      </c>
      <c r="AO175" s="136">
        <f t="shared" si="74"/>
        <v>0</v>
      </c>
      <c r="AP175" s="17">
        <v>0</v>
      </c>
      <c r="AQ175" s="23">
        <f t="shared" si="75"/>
        <v>0</v>
      </c>
      <c r="AR175" s="17">
        <f t="shared" si="72"/>
        <v>0</v>
      </c>
      <c r="AS175" s="141">
        <f t="shared" si="76"/>
        <v>0</v>
      </c>
      <c r="AT175" s="158"/>
      <c r="AU175" s="146">
        <f t="shared" si="78"/>
        <v>0</v>
      </c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</row>
    <row r="176" spans="1:59" s="122" customFormat="1" ht="15" customHeight="1">
      <c r="A176" s="113">
        <v>1</v>
      </c>
      <c r="B176" s="114" t="s">
        <v>34</v>
      </c>
      <c r="C176" s="115"/>
      <c r="D176" s="116">
        <v>0.05</v>
      </c>
      <c r="E176" s="117">
        <f t="shared" ref="E176:E179" si="88">+D176*$C$175</f>
        <v>71870.7</v>
      </c>
      <c r="F176" s="116"/>
      <c r="G176" s="117">
        <f t="shared" si="16"/>
        <v>0</v>
      </c>
      <c r="H176" s="116"/>
      <c r="I176" s="117"/>
      <c r="J176" s="116"/>
      <c r="K176" s="117">
        <f t="shared" si="26"/>
        <v>0</v>
      </c>
      <c r="L176" s="116"/>
      <c r="M176" s="117">
        <f t="shared" si="32"/>
        <v>0</v>
      </c>
      <c r="N176" s="116"/>
      <c r="O176" s="117">
        <f t="shared" si="19"/>
        <v>0</v>
      </c>
      <c r="P176" s="116"/>
      <c r="Q176" s="117">
        <f t="shared" si="20"/>
        <v>0</v>
      </c>
      <c r="R176" s="116"/>
      <c r="S176" s="117">
        <f t="shared" si="21"/>
        <v>0</v>
      </c>
      <c r="T176" s="116"/>
      <c r="U176" s="117">
        <f t="shared" si="27"/>
        <v>0</v>
      </c>
      <c r="V176" s="116">
        <v>1</v>
      </c>
      <c r="W176" s="117">
        <f t="shared" si="22"/>
        <v>71870.7</v>
      </c>
      <c r="X176" s="116">
        <v>1</v>
      </c>
      <c r="Y176" s="117">
        <f t="shared" si="67"/>
        <v>71870.7</v>
      </c>
      <c r="Z176" s="116"/>
      <c r="AA176" s="117">
        <f t="shared" si="23"/>
        <v>0</v>
      </c>
      <c r="AB176" s="116"/>
      <c r="AC176" s="117">
        <f t="shared" si="29"/>
        <v>0</v>
      </c>
      <c r="AD176" s="116"/>
      <c r="AE176" s="117">
        <f t="shared" si="24"/>
        <v>0</v>
      </c>
      <c r="AF176" s="116"/>
      <c r="AG176" s="118">
        <f t="shared" si="33"/>
        <v>0</v>
      </c>
      <c r="AH176" s="217"/>
      <c r="AI176" s="220"/>
      <c r="AJ176" s="220"/>
      <c r="AK176" s="150">
        <f t="shared" si="86"/>
        <v>1</v>
      </c>
      <c r="AL176" s="119">
        <f t="shared" si="86"/>
        <v>71870.7</v>
      </c>
      <c r="AM176" s="120">
        <f t="shared" si="73"/>
        <v>1</v>
      </c>
      <c r="AN176" s="120">
        <v>1</v>
      </c>
      <c r="AO176" s="164">
        <f t="shared" si="74"/>
        <v>0</v>
      </c>
      <c r="AP176" s="150">
        <v>1</v>
      </c>
      <c r="AQ176" s="119">
        <f t="shared" si="75"/>
        <v>71870.7</v>
      </c>
      <c r="AR176" s="150">
        <f t="shared" si="72"/>
        <v>0</v>
      </c>
      <c r="AS176" s="165">
        <f t="shared" si="76"/>
        <v>0</v>
      </c>
      <c r="AT176" s="181"/>
      <c r="AU176" s="167">
        <f t="shared" si="78"/>
        <v>0</v>
      </c>
      <c r="AV176" s="121"/>
      <c r="AW176" s="121"/>
      <c r="AX176" s="121"/>
      <c r="AY176" s="121"/>
      <c r="AZ176" s="121"/>
      <c r="BA176" s="121"/>
      <c r="BB176" s="121"/>
      <c r="BC176" s="121"/>
      <c r="BD176" s="121"/>
      <c r="BE176" s="121"/>
      <c r="BF176" s="121"/>
      <c r="BG176" s="121"/>
    </row>
    <row r="177" spans="1:59" s="122" customFormat="1" ht="15" customHeight="1">
      <c r="A177" s="113">
        <v>2</v>
      </c>
      <c r="B177" s="114" t="s">
        <v>47</v>
      </c>
      <c r="C177" s="115"/>
      <c r="D177" s="116">
        <v>0.2</v>
      </c>
      <c r="E177" s="117">
        <f t="shared" si="88"/>
        <v>287482.8</v>
      </c>
      <c r="F177" s="116"/>
      <c r="G177" s="117">
        <f t="shared" si="16"/>
        <v>0</v>
      </c>
      <c r="H177" s="116"/>
      <c r="I177" s="117"/>
      <c r="J177" s="116"/>
      <c r="K177" s="117">
        <f t="shared" si="26"/>
        <v>0</v>
      </c>
      <c r="L177" s="116"/>
      <c r="M177" s="117">
        <f t="shared" si="32"/>
        <v>0</v>
      </c>
      <c r="N177" s="116"/>
      <c r="O177" s="117">
        <f t="shared" si="19"/>
        <v>0</v>
      </c>
      <c r="P177" s="116"/>
      <c r="Q177" s="117">
        <f t="shared" si="20"/>
        <v>0</v>
      </c>
      <c r="R177" s="116"/>
      <c r="S177" s="117">
        <f t="shared" si="21"/>
        <v>0</v>
      </c>
      <c r="T177" s="116"/>
      <c r="U177" s="117">
        <f t="shared" si="27"/>
        <v>0</v>
      </c>
      <c r="V177" s="116"/>
      <c r="W177" s="117">
        <f t="shared" si="22"/>
        <v>0</v>
      </c>
      <c r="X177" s="116"/>
      <c r="Y177" s="117">
        <f t="shared" si="67"/>
        <v>0</v>
      </c>
      <c r="Z177" s="116">
        <v>1</v>
      </c>
      <c r="AA177" s="117">
        <f t="shared" si="23"/>
        <v>287482.8</v>
      </c>
      <c r="AB177" s="116"/>
      <c r="AC177" s="117">
        <f t="shared" si="29"/>
        <v>0</v>
      </c>
      <c r="AD177" s="116"/>
      <c r="AE177" s="117">
        <f t="shared" si="24"/>
        <v>0</v>
      </c>
      <c r="AF177" s="116"/>
      <c r="AG177" s="118">
        <f t="shared" si="33"/>
        <v>0</v>
      </c>
      <c r="AH177" s="217"/>
      <c r="AI177" s="220"/>
      <c r="AJ177" s="220"/>
      <c r="AK177" s="150">
        <f t="shared" si="86"/>
        <v>0</v>
      </c>
      <c r="AL177" s="119">
        <f t="shared" si="86"/>
        <v>0</v>
      </c>
      <c r="AM177" s="120">
        <f t="shared" si="73"/>
        <v>0</v>
      </c>
      <c r="AN177" s="120">
        <v>0</v>
      </c>
      <c r="AO177" s="164">
        <f t="shared" si="74"/>
        <v>0</v>
      </c>
      <c r="AP177" s="150">
        <v>0</v>
      </c>
      <c r="AQ177" s="119">
        <f t="shared" si="75"/>
        <v>0</v>
      </c>
      <c r="AR177" s="150">
        <f t="shared" si="72"/>
        <v>0</v>
      </c>
      <c r="AS177" s="165">
        <f t="shared" si="76"/>
        <v>0</v>
      </c>
      <c r="AT177" s="181"/>
      <c r="AU177" s="167">
        <f t="shared" si="78"/>
        <v>0</v>
      </c>
      <c r="AV177" s="121"/>
      <c r="AW177" s="121"/>
      <c r="AX177" s="121"/>
      <c r="AY177" s="121"/>
      <c r="AZ177" s="121"/>
      <c r="BA177" s="121"/>
      <c r="BB177" s="121"/>
      <c r="BC177" s="121"/>
      <c r="BD177" s="121"/>
      <c r="BE177" s="121"/>
      <c r="BF177" s="121"/>
      <c r="BG177" s="121"/>
    </row>
    <row r="178" spans="1:59" s="122" customFormat="1" ht="15" customHeight="1">
      <c r="A178" s="113">
        <v>3</v>
      </c>
      <c r="B178" s="114" t="s">
        <v>48</v>
      </c>
      <c r="C178" s="115"/>
      <c r="D178" s="116">
        <v>0.3</v>
      </c>
      <c r="E178" s="117">
        <f t="shared" si="88"/>
        <v>431224.2</v>
      </c>
      <c r="F178" s="116"/>
      <c r="G178" s="117">
        <f t="shared" si="16"/>
        <v>0</v>
      </c>
      <c r="H178" s="116"/>
      <c r="I178" s="117"/>
      <c r="J178" s="116"/>
      <c r="K178" s="117">
        <f t="shared" si="26"/>
        <v>0</v>
      </c>
      <c r="L178" s="116"/>
      <c r="M178" s="117">
        <f t="shared" si="32"/>
        <v>0</v>
      </c>
      <c r="N178" s="116"/>
      <c r="O178" s="117">
        <f t="shared" si="19"/>
        <v>0</v>
      </c>
      <c r="P178" s="116"/>
      <c r="Q178" s="117">
        <f t="shared" si="20"/>
        <v>0</v>
      </c>
      <c r="R178" s="116"/>
      <c r="S178" s="117">
        <f t="shared" si="21"/>
        <v>0</v>
      </c>
      <c r="T178" s="116"/>
      <c r="U178" s="117">
        <f t="shared" si="27"/>
        <v>0</v>
      </c>
      <c r="V178" s="116"/>
      <c r="W178" s="117">
        <f t="shared" si="22"/>
        <v>0</v>
      </c>
      <c r="X178" s="116"/>
      <c r="Y178" s="117">
        <f t="shared" si="67"/>
        <v>0</v>
      </c>
      <c r="Z178" s="116">
        <v>1</v>
      </c>
      <c r="AA178" s="117">
        <f t="shared" si="23"/>
        <v>431224.2</v>
      </c>
      <c r="AB178" s="116"/>
      <c r="AC178" s="117">
        <f t="shared" si="29"/>
        <v>0</v>
      </c>
      <c r="AD178" s="116"/>
      <c r="AE178" s="117">
        <f t="shared" si="24"/>
        <v>0</v>
      </c>
      <c r="AF178" s="116"/>
      <c r="AG178" s="118">
        <f t="shared" si="33"/>
        <v>0</v>
      </c>
      <c r="AH178" s="217"/>
      <c r="AI178" s="220"/>
      <c r="AJ178" s="220"/>
      <c r="AK178" s="150">
        <f t="shared" si="86"/>
        <v>0</v>
      </c>
      <c r="AL178" s="119">
        <f t="shared" si="86"/>
        <v>0</v>
      </c>
      <c r="AM178" s="120">
        <f t="shared" si="73"/>
        <v>0</v>
      </c>
      <c r="AN178" s="120">
        <v>0</v>
      </c>
      <c r="AO178" s="164">
        <f t="shared" si="74"/>
        <v>0</v>
      </c>
      <c r="AP178" s="150">
        <v>0</v>
      </c>
      <c r="AQ178" s="119">
        <f t="shared" si="75"/>
        <v>0</v>
      </c>
      <c r="AR178" s="150">
        <f t="shared" si="72"/>
        <v>0</v>
      </c>
      <c r="AS178" s="165">
        <f t="shared" si="76"/>
        <v>0</v>
      </c>
      <c r="AT178" s="181"/>
      <c r="AU178" s="167">
        <f t="shared" si="78"/>
        <v>0</v>
      </c>
      <c r="AV178" s="121"/>
      <c r="AW178" s="121"/>
      <c r="AX178" s="121"/>
      <c r="AY178" s="121"/>
      <c r="AZ178" s="121"/>
      <c r="BA178" s="121"/>
      <c r="BB178" s="121"/>
      <c r="BC178" s="121"/>
      <c r="BD178" s="121"/>
      <c r="BE178" s="121"/>
      <c r="BF178" s="121"/>
      <c r="BG178" s="121"/>
    </row>
    <row r="179" spans="1:59" s="122" customFormat="1" ht="15" customHeight="1">
      <c r="A179" s="113">
        <v>4</v>
      </c>
      <c r="B179" s="114" t="s">
        <v>116</v>
      </c>
      <c r="C179" s="115"/>
      <c r="D179" s="116">
        <v>0.45</v>
      </c>
      <c r="E179" s="117">
        <f t="shared" si="88"/>
        <v>646836.30000000005</v>
      </c>
      <c r="F179" s="116"/>
      <c r="G179" s="117">
        <f t="shared" si="16"/>
        <v>0</v>
      </c>
      <c r="H179" s="116"/>
      <c r="I179" s="117"/>
      <c r="J179" s="116"/>
      <c r="K179" s="117">
        <f t="shared" si="26"/>
        <v>0</v>
      </c>
      <c r="L179" s="116"/>
      <c r="M179" s="117">
        <f t="shared" si="32"/>
        <v>0</v>
      </c>
      <c r="N179" s="116"/>
      <c r="O179" s="117">
        <f t="shared" si="19"/>
        <v>0</v>
      </c>
      <c r="P179" s="116"/>
      <c r="Q179" s="117">
        <f t="shared" si="20"/>
        <v>0</v>
      </c>
      <c r="R179" s="116"/>
      <c r="S179" s="117">
        <f t="shared" si="21"/>
        <v>0</v>
      </c>
      <c r="T179" s="116"/>
      <c r="U179" s="117">
        <f t="shared" si="27"/>
        <v>0</v>
      </c>
      <c r="V179" s="116"/>
      <c r="W179" s="117">
        <f t="shared" si="22"/>
        <v>0</v>
      </c>
      <c r="X179" s="116"/>
      <c r="Y179" s="117">
        <f t="shared" si="67"/>
        <v>0</v>
      </c>
      <c r="Z179" s="116">
        <v>1</v>
      </c>
      <c r="AA179" s="117">
        <f t="shared" si="23"/>
        <v>646836.30000000005</v>
      </c>
      <c r="AB179" s="116"/>
      <c r="AC179" s="117">
        <f t="shared" si="29"/>
        <v>0</v>
      </c>
      <c r="AD179" s="116"/>
      <c r="AE179" s="117">
        <f t="shared" si="24"/>
        <v>0</v>
      </c>
      <c r="AF179" s="116"/>
      <c r="AG179" s="118">
        <f t="shared" si="33"/>
        <v>0</v>
      </c>
      <c r="AH179" s="218"/>
      <c r="AI179" s="221"/>
      <c r="AJ179" s="221"/>
      <c r="AK179" s="150">
        <f t="shared" si="86"/>
        <v>0</v>
      </c>
      <c r="AL179" s="119">
        <f t="shared" si="86"/>
        <v>0</v>
      </c>
      <c r="AM179" s="120">
        <f t="shared" si="73"/>
        <v>0</v>
      </c>
      <c r="AN179" s="120">
        <v>0</v>
      </c>
      <c r="AO179" s="164">
        <f t="shared" si="74"/>
        <v>0</v>
      </c>
      <c r="AP179" s="150">
        <v>0</v>
      </c>
      <c r="AQ179" s="119">
        <f t="shared" si="75"/>
        <v>0</v>
      </c>
      <c r="AR179" s="150">
        <f t="shared" si="72"/>
        <v>0</v>
      </c>
      <c r="AS179" s="165">
        <f t="shared" si="76"/>
        <v>0</v>
      </c>
      <c r="AT179" s="166"/>
      <c r="AU179" s="167">
        <f t="shared" si="78"/>
        <v>0</v>
      </c>
      <c r="AV179" s="124"/>
      <c r="AW179" s="124"/>
      <c r="AX179" s="124"/>
      <c r="AY179" s="124"/>
      <c r="AZ179" s="124"/>
      <c r="BA179" s="124"/>
      <c r="BB179" s="124"/>
      <c r="BC179" s="124"/>
      <c r="BD179" s="124"/>
      <c r="BE179" s="124"/>
      <c r="BF179" s="124"/>
      <c r="BG179" s="124"/>
    </row>
    <row r="180" spans="1:59" ht="15" customHeight="1">
      <c r="A180" s="74" t="s">
        <v>122</v>
      </c>
      <c r="B180" s="75" t="s">
        <v>123</v>
      </c>
      <c r="C180" s="76">
        <f>5749655+1600000+10647510</f>
        <v>17997165</v>
      </c>
      <c r="D180" s="77"/>
      <c r="E180" s="78"/>
      <c r="F180" s="79"/>
      <c r="G180" s="80">
        <f t="shared" si="16"/>
        <v>0</v>
      </c>
      <c r="H180" s="79"/>
      <c r="I180" s="80"/>
      <c r="J180" s="80"/>
      <c r="K180" s="80">
        <f t="shared" si="26"/>
        <v>0</v>
      </c>
      <c r="L180" s="79"/>
      <c r="M180" s="80">
        <f t="shared" si="32"/>
        <v>0</v>
      </c>
      <c r="N180" s="80"/>
      <c r="O180" s="80">
        <f t="shared" si="19"/>
        <v>0</v>
      </c>
      <c r="P180" s="79"/>
      <c r="Q180" s="80">
        <f t="shared" si="20"/>
        <v>0</v>
      </c>
      <c r="R180" s="80"/>
      <c r="S180" s="80">
        <f t="shared" si="21"/>
        <v>0</v>
      </c>
      <c r="T180" s="79"/>
      <c r="U180" s="80">
        <f t="shared" si="27"/>
        <v>0</v>
      </c>
      <c r="V180" s="80"/>
      <c r="W180" s="80">
        <f t="shared" si="22"/>
        <v>0</v>
      </c>
      <c r="X180" s="79"/>
      <c r="Y180" s="80">
        <f t="shared" si="67"/>
        <v>0</v>
      </c>
      <c r="Z180" s="80"/>
      <c r="AA180" s="80">
        <f t="shared" si="23"/>
        <v>0</v>
      </c>
      <c r="AB180" s="79"/>
      <c r="AC180" s="80">
        <f t="shared" si="29"/>
        <v>0</v>
      </c>
      <c r="AD180" s="80"/>
      <c r="AE180" s="80">
        <f t="shared" si="24"/>
        <v>0</v>
      </c>
      <c r="AF180" s="79"/>
      <c r="AG180" s="81">
        <f t="shared" si="33"/>
        <v>0</v>
      </c>
      <c r="AH180" s="216">
        <f>SUM(E181:E191)</f>
        <v>21351131</v>
      </c>
      <c r="AI180" s="219">
        <f>SUM(Y181:Y191)+SUM(AC181:AC191)+SUM(I181:I191)+SUM(G181:G191)+SUM(M181:M191)+SUM(Q181:Q191)+SUM(U181:U191)+SUM(AG181:AG191)</f>
        <v>6820925.5350000001</v>
      </c>
      <c r="AJ180" s="222">
        <f>AI180/AH180</f>
        <v>0.31946436631389691</v>
      </c>
      <c r="AK180" s="17">
        <f t="shared" si="86"/>
        <v>0</v>
      </c>
      <c r="AL180" s="23">
        <f t="shared" si="86"/>
        <v>0</v>
      </c>
      <c r="AM180" s="4">
        <f t="shared" si="73"/>
        <v>0</v>
      </c>
      <c r="AN180" s="4">
        <v>0</v>
      </c>
      <c r="AO180" s="136">
        <f t="shared" si="74"/>
        <v>0</v>
      </c>
      <c r="AP180" s="17">
        <v>0</v>
      </c>
      <c r="AQ180" s="23">
        <f t="shared" si="75"/>
        <v>0</v>
      </c>
      <c r="AR180" s="17">
        <f t="shared" si="72"/>
        <v>0</v>
      </c>
      <c r="AS180" s="141">
        <f t="shared" si="76"/>
        <v>0</v>
      </c>
      <c r="AT180" s="158"/>
      <c r="AU180" s="146">
        <f t="shared" si="78"/>
        <v>0</v>
      </c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</row>
    <row r="181" spans="1:59" s="122" customFormat="1" ht="15" customHeight="1">
      <c r="A181" s="113"/>
      <c r="B181" s="128" t="s">
        <v>124</v>
      </c>
      <c r="C181" s="129"/>
      <c r="D181" s="183"/>
      <c r="E181" s="117"/>
      <c r="F181" s="116"/>
      <c r="G181" s="117">
        <f t="shared" si="16"/>
        <v>0</v>
      </c>
      <c r="H181" s="116"/>
      <c r="I181" s="117"/>
      <c r="J181" s="116"/>
      <c r="K181" s="117">
        <f t="shared" si="26"/>
        <v>0</v>
      </c>
      <c r="L181" s="116"/>
      <c r="M181" s="117">
        <f t="shared" si="32"/>
        <v>0</v>
      </c>
      <c r="N181" s="116"/>
      <c r="O181" s="117">
        <f t="shared" si="19"/>
        <v>0</v>
      </c>
      <c r="P181" s="116"/>
      <c r="Q181" s="117">
        <f t="shared" si="20"/>
        <v>0</v>
      </c>
      <c r="R181" s="116"/>
      <c r="S181" s="117">
        <f t="shared" si="21"/>
        <v>0</v>
      </c>
      <c r="T181" s="116"/>
      <c r="U181" s="117">
        <f t="shared" si="27"/>
        <v>0</v>
      </c>
      <c r="V181" s="116"/>
      <c r="W181" s="117">
        <f t="shared" si="22"/>
        <v>0</v>
      </c>
      <c r="X181" s="116"/>
      <c r="Y181" s="117">
        <f t="shared" si="67"/>
        <v>0</v>
      </c>
      <c r="Z181" s="116"/>
      <c r="AA181" s="117">
        <f t="shared" si="23"/>
        <v>0</v>
      </c>
      <c r="AB181" s="116"/>
      <c r="AC181" s="117">
        <f t="shared" si="29"/>
        <v>0</v>
      </c>
      <c r="AD181" s="116"/>
      <c r="AE181" s="117">
        <f t="shared" si="24"/>
        <v>0</v>
      </c>
      <c r="AF181" s="116"/>
      <c r="AG181" s="118">
        <f t="shared" si="33"/>
        <v>0</v>
      </c>
      <c r="AH181" s="217"/>
      <c r="AI181" s="220"/>
      <c r="AJ181" s="220"/>
      <c r="AK181" s="150">
        <f t="shared" si="86"/>
        <v>0</v>
      </c>
      <c r="AL181" s="119">
        <f t="shared" si="86"/>
        <v>0</v>
      </c>
      <c r="AM181" s="120">
        <f t="shared" si="73"/>
        <v>0</v>
      </c>
      <c r="AN181" s="120">
        <v>0</v>
      </c>
      <c r="AO181" s="164">
        <f t="shared" si="74"/>
        <v>0</v>
      </c>
      <c r="AP181" s="150">
        <v>0</v>
      </c>
      <c r="AQ181" s="119">
        <f t="shared" si="75"/>
        <v>0</v>
      </c>
      <c r="AR181" s="150">
        <f t="shared" si="72"/>
        <v>0</v>
      </c>
      <c r="AS181" s="165">
        <f t="shared" si="76"/>
        <v>0</v>
      </c>
      <c r="AT181" s="181"/>
      <c r="AU181" s="167">
        <f t="shared" si="78"/>
        <v>0</v>
      </c>
      <c r="AV181" s="121"/>
      <c r="AW181" s="121"/>
      <c r="AX181" s="121"/>
      <c r="AY181" s="121"/>
      <c r="AZ181" s="121"/>
      <c r="BA181" s="121"/>
      <c r="BB181" s="121"/>
      <c r="BC181" s="121"/>
      <c r="BD181" s="121"/>
      <c r="BE181" s="121"/>
      <c r="BF181" s="121"/>
      <c r="BG181" s="121"/>
    </row>
    <row r="182" spans="1:59" s="122" customFormat="1" ht="15" customHeight="1">
      <c r="A182" s="113">
        <v>1</v>
      </c>
      <c r="B182" s="114" t="s">
        <v>125</v>
      </c>
      <c r="C182" s="115"/>
      <c r="D182" s="116"/>
      <c r="E182" s="117"/>
      <c r="F182" s="116"/>
      <c r="G182" s="117">
        <f t="shared" si="16"/>
        <v>0</v>
      </c>
      <c r="H182" s="116"/>
      <c r="I182" s="117"/>
      <c r="J182" s="116"/>
      <c r="K182" s="117">
        <f t="shared" si="26"/>
        <v>0</v>
      </c>
      <c r="L182" s="116"/>
      <c r="M182" s="117">
        <f t="shared" si="32"/>
        <v>0</v>
      </c>
      <c r="N182" s="116"/>
      <c r="O182" s="117">
        <f t="shared" si="19"/>
        <v>0</v>
      </c>
      <c r="P182" s="116"/>
      <c r="Q182" s="117">
        <f t="shared" si="20"/>
        <v>0</v>
      </c>
      <c r="R182" s="116"/>
      <c r="S182" s="117">
        <f t="shared" si="21"/>
        <v>0</v>
      </c>
      <c r="T182" s="116"/>
      <c r="U182" s="117">
        <f t="shared" si="27"/>
        <v>0</v>
      </c>
      <c r="V182" s="116"/>
      <c r="W182" s="117">
        <f t="shared" si="22"/>
        <v>0</v>
      </c>
      <c r="X182" s="116"/>
      <c r="Y182" s="117">
        <f t="shared" si="67"/>
        <v>0</v>
      </c>
      <c r="Z182" s="116"/>
      <c r="AA182" s="117">
        <f t="shared" si="23"/>
        <v>0</v>
      </c>
      <c r="AB182" s="116"/>
      <c r="AC182" s="117">
        <f t="shared" si="29"/>
        <v>0</v>
      </c>
      <c r="AD182" s="116"/>
      <c r="AE182" s="117">
        <f t="shared" si="24"/>
        <v>0</v>
      </c>
      <c r="AF182" s="116"/>
      <c r="AG182" s="118">
        <f t="shared" si="33"/>
        <v>0</v>
      </c>
      <c r="AH182" s="217"/>
      <c r="AI182" s="220"/>
      <c r="AJ182" s="220"/>
      <c r="AK182" s="150">
        <f t="shared" si="86"/>
        <v>0</v>
      </c>
      <c r="AL182" s="119">
        <f t="shared" si="86"/>
        <v>0</v>
      </c>
      <c r="AM182" s="120">
        <f t="shared" si="73"/>
        <v>0</v>
      </c>
      <c r="AN182" s="120">
        <v>0</v>
      </c>
      <c r="AO182" s="164">
        <f t="shared" si="74"/>
        <v>0</v>
      </c>
      <c r="AP182" s="150">
        <v>0</v>
      </c>
      <c r="AQ182" s="119">
        <f t="shared" si="75"/>
        <v>0</v>
      </c>
      <c r="AR182" s="150">
        <f t="shared" si="72"/>
        <v>0</v>
      </c>
      <c r="AS182" s="165">
        <f t="shared" si="76"/>
        <v>0</v>
      </c>
      <c r="AT182" s="181"/>
      <c r="AU182" s="167">
        <f t="shared" si="78"/>
        <v>0</v>
      </c>
      <c r="AV182" s="121"/>
      <c r="AW182" s="121"/>
      <c r="AX182" s="121"/>
      <c r="AY182" s="121"/>
      <c r="AZ182" s="121"/>
      <c r="BA182" s="121"/>
      <c r="BB182" s="121"/>
      <c r="BC182" s="121"/>
      <c r="BD182" s="121"/>
      <c r="BE182" s="121"/>
      <c r="BF182" s="121"/>
      <c r="BG182" s="121"/>
    </row>
    <row r="183" spans="1:59" s="122" customFormat="1" ht="15" customHeight="1">
      <c r="A183" s="113">
        <v>2</v>
      </c>
      <c r="B183" s="114" t="s">
        <v>126</v>
      </c>
      <c r="C183" s="115"/>
      <c r="D183" s="116">
        <v>0.15</v>
      </c>
      <c r="E183" s="117">
        <f t="shared" ref="E183:E189" si="89">+D183*$C$180</f>
        <v>2699574.75</v>
      </c>
      <c r="F183" s="116">
        <v>0.5</v>
      </c>
      <c r="G183" s="117">
        <f t="shared" si="16"/>
        <v>1349787.375</v>
      </c>
      <c r="H183" s="116">
        <v>5.0000000000000044E-2</v>
      </c>
      <c r="I183" s="117">
        <f t="shared" ref="I183:I189" si="90">+H183*$E183</f>
        <v>134978.73750000013</v>
      </c>
      <c r="J183" s="116">
        <v>0.35</v>
      </c>
      <c r="K183" s="117">
        <f t="shared" si="26"/>
        <v>944851.16249999998</v>
      </c>
      <c r="L183" s="116">
        <v>0.06</v>
      </c>
      <c r="M183" s="117">
        <f t="shared" si="32"/>
        <v>161974.48499999999</v>
      </c>
      <c r="N183" s="116">
        <v>0.1</v>
      </c>
      <c r="O183" s="117">
        <f t="shared" si="19"/>
        <v>269957.47500000003</v>
      </c>
      <c r="P183" s="116"/>
      <c r="Q183" s="117">
        <f t="shared" si="20"/>
        <v>0</v>
      </c>
      <c r="R183" s="116"/>
      <c r="S183" s="117">
        <f t="shared" si="21"/>
        <v>0</v>
      </c>
      <c r="T183" s="116"/>
      <c r="U183" s="117">
        <f t="shared" si="27"/>
        <v>0</v>
      </c>
      <c r="V183" s="116"/>
      <c r="W183" s="117">
        <f t="shared" si="22"/>
        <v>0</v>
      </c>
      <c r="X183" s="116"/>
      <c r="Y183" s="117">
        <f t="shared" si="67"/>
        <v>0</v>
      </c>
      <c r="Z183" s="116"/>
      <c r="AA183" s="117">
        <f t="shared" si="23"/>
        <v>0</v>
      </c>
      <c r="AB183" s="116"/>
      <c r="AC183" s="117">
        <f t="shared" si="29"/>
        <v>0</v>
      </c>
      <c r="AD183" s="116"/>
      <c r="AE183" s="117">
        <f t="shared" si="24"/>
        <v>0</v>
      </c>
      <c r="AF183" s="116"/>
      <c r="AG183" s="118">
        <f t="shared" si="33"/>
        <v>0</v>
      </c>
      <c r="AH183" s="217"/>
      <c r="AI183" s="220"/>
      <c r="AJ183" s="220"/>
      <c r="AK183" s="150">
        <f t="shared" si="86"/>
        <v>0.6100000000000001</v>
      </c>
      <c r="AL183" s="119">
        <f t="shared" si="86"/>
        <v>1646740.5975000001</v>
      </c>
      <c r="AM183" s="120">
        <f t="shared" si="73"/>
        <v>0.6100000000000001</v>
      </c>
      <c r="AN183" s="120">
        <v>0.6100000000000001</v>
      </c>
      <c r="AO183" s="164">
        <f t="shared" si="74"/>
        <v>0</v>
      </c>
      <c r="AP183" s="150">
        <v>0.6100000000000001</v>
      </c>
      <c r="AQ183" s="119">
        <f t="shared" si="75"/>
        <v>1646740.5975000001</v>
      </c>
      <c r="AR183" s="150">
        <f t="shared" si="72"/>
        <v>0</v>
      </c>
      <c r="AS183" s="165">
        <f t="shared" si="76"/>
        <v>0</v>
      </c>
      <c r="AT183" s="181"/>
      <c r="AU183" s="167">
        <f t="shared" si="78"/>
        <v>0</v>
      </c>
      <c r="AV183" s="121"/>
      <c r="AW183" s="121"/>
      <c r="AX183" s="121"/>
      <c r="AY183" s="121"/>
      <c r="AZ183" s="121"/>
      <c r="BA183" s="121"/>
      <c r="BB183" s="121"/>
      <c r="BC183" s="121"/>
      <c r="BD183" s="121"/>
      <c r="BE183" s="121"/>
      <c r="BF183" s="121"/>
      <c r="BG183" s="121"/>
    </row>
    <row r="184" spans="1:59" s="122" customFormat="1" ht="15" customHeight="1">
      <c r="A184" s="113">
        <v>3</v>
      </c>
      <c r="B184" s="114" t="s">
        <v>127</v>
      </c>
      <c r="C184" s="115"/>
      <c r="D184" s="116">
        <v>0.2</v>
      </c>
      <c r="E184" s="117">
        <f t="shared" si="89"/>
        <v>3599433</v>
      </c>
      <c r="F184" s="116">
        <v>0.5</v>
      </c>
      <c r="G184" s="117">
        <f t="shared" si="16"/>
        <v>1799716.5</v>
      </c>
      <c r="H184" s="116"/>
      <c r="I184" s="117">
        <f t="shared" si="90"/>
        <v>0</v>
      </c>
      <c r="J184" s="116">
        <v>0.28000000000000003</v>
      </c>
      <c r="K184" s="117">
        <f>+J184*E184</f>
        <v>1007841.2400000001</v>
      </c>
      <c r="L184" s="116">
        <v>0.02</v>
      </c>
      <c r="M184" s="117">
        <f t="shared" si="32"/>
        <v>71988.66</v>
      </c>
      <c r="N184" s="116">
        <v>7.0000000000000007E-2</v>
      </c>
      <c r="O184" s="117">
        <f t="shared" si="19"/>
        <v>251960.31000000003</v>
      </c>
      <c r="P184" s="116"/>
      <c r="Q184" s="117">
        <f t="shared" si="20"/>
        <v>0</v>
      </c>
      <c r="R184" s="116">
        <v>0.1</v>
      </c>
      <c r="S184" s="117">
        <f t="shared" si="21"/>
        <v>359943.30000000005</v>
      </c>
      <c r="T184" s="116"/>
      <c r="U184" s="117">
        <f t="shared" si="27"/>
        <v>0</v>
      </c>
      <c r="V184" s="116">
        <v>0.05</v>
      </c>
      <c r="W184" s="117">
        <f t="shared" si="22"/>
        <v>179971.65000000002</v>
      </c>
      <c r="X184" s="116"/>
      <c r="Y184" s="117">
        <f t="shared" si="67"/>
        <v>0</v>
      </c>
      <c r="Z184" s="116"/>
      <c r="AA184" s="117">
        <f t="shared" si="23"/>
        <v>0</v>
      </c>
      <c r="AB184" s="116"/>
      <c r="AC184" s="117">
        <f t="shared" si="29"/>
        <v>0</v>
      </c>
      <c r="AD184" s="116"/>
      <c r="AE184" s="117">
        <f t="shared" si="24"/>
        <v>0</v>
      </c>
      <c r="AF184" s="116"/>
      <c r="AG184" s="118">
        <f t="shared" si="33"/>
        <v>0</v>
      </c>
      <c r="AH184" s="217"/>
      <c r="AI184" s="220"/>
      <c r="AJ184" s="220"/>
      <c r="AK184" s="150">
        <f t="shared" ref="AK184:AL199" si="91">F184+H184+L184+P184+T184+X184+AB184+AF184</f>
        <v>0.52</v>
      </c>
      <c r="AL184" s="119">
        <f t="shared" si="91"/>
        <v>1871705.16</v>
      </c>
      <c r="AM184" s="120">
        <f t="shared" si="73"/>
        <v>0.52</v>
      </c>
      <c r="AN184" s="120">
        <v>0.52</v>
      </c>
      <c r="AO184" s="164">
        <f t="shared" si="74"/>
        <v>0</v>
      </c>
      <c r="AP184" s="150">
        <v>0.52</v>
      </c>
      <c r="AQ184" s="119">
        <f t="shared" si="75"/>
        <v>1871705.1600000001</v>
      </c>
      <c r="AR184" s="150">
        <f t="shared" si="72"/>
        <v>0</v>
      </c>
      <c r="AS184" s="165">
        <f t="shared" si="76"/>
        <v>0</v>
      </c>
      <c r="AT184" s="181"/>
      <c r="AU184" s="167">
        <f t="shared" si="78"/>
        <v>0</v>
      </c>
      <c r="AV184" s="121"/>
      <c r="AW184" s="121"/>
      <c r="AX184" s="121"/>
      <c r="AY184" s="121"/>
      <c r="AZ184" s="121"/>
      <c r="BA184" s="121"/>
      <c r="BB184" s="121"/>
      <c r="BC184" s="121"/>
      <c r="BD184" s="121"/>
      <c r="BE184" s="121"/>
      <c r="BF184" s="121"/>
      <c r="BG184" s="121"/>
    </row>
    <row r="185" spans="1:59" s="122" customFormat="1" ht="15" customHeight="1">
      <c r="A185" s="113">
        <v>4</v>
      </c>
      <c r="B185" s="114" t="s">
        <v>128</v>
      </c>
      <c r="C185" s="115"/>
      <c r="D185" s="116">
        <v>0.2</v>
      </c>
      <c r="E185" s="117">
        <f t="shared" si="89"/>
        <v>3599433</v>
      </c>
      <c r="F185" s="116">
        <v>0.5</v>
      </c>
      <c r="G185" s="117">
        <f t="shared" si="16"/>
        <v>1799716.5</v>
      </c>
      <c r="H185" s="116"/>
      <c r="I185" s="117">
        <f t="shared" si="90"/>
        <v>0</v>
      </c>
      <c r="J185" s="116">
        <v>0.2</v>
      </c>
      <c r="K185" s="117">
        <f t="shared" ref="K185:K262" si="92">+J185*$E185</f>
        <v>719886.60000000009</v>
      </c>
      <c r="L185" s="116">
        <v>0.02</v>
      </c>
      <c r="M185" s="117">
        <f t="shared" si="32"/>
        <v>71988.66</v>
      </c>
      <c r="N185" s="116">
        <v>0.04</v>
      </c>
      <c r="O185" s="117">
        <f>+N185*$E185+7064</f>
        <v>151041.32</v>
      </c>
      <c r="P185" s="116"/>
      <c r="Q185" s="117">
        <f t="shared" si="20"/>
        <v>0</v>
      </c>
      <c r="R185" s="116">
        <v>0.14000000000000001</v>
      </c>
      <c r="S185" s="117">
        <f>+R185*$E185-7064</f>
        <v>496856.62000000005</v>
      </c>
      <c r="T185" s="116"/>
      <c r="U185" s="117">
        <f t="shared" si="27"/>
        <v>0</v>
      </c>
      <c r="V185" s="116">
        <v>0.12</v>
      </c>
      <c r="W185" s="117">
        <f t="shared" si="22"/>
        <v>431931.95999999996</v>
      </c>
      <c r="X185" s="116"/>
      <c r="Y185" s="117">
        <f t="shared" si="67"/>
        <v>0</v>
      </c>
      <c r="Z185" s="116"/>
      <c r="AA185" s="117">
        <f t="shared" si="23"/>
        <v>0</v>
      </c>
      <c r="AB185" s="116"/>
      <c r="AC185" s="117">
        <f t="shared" si="29"/>
        <v>0</v>
      </c>
      <c r="AD185" s="116"/>
      <c r="AE185" s="117">
        <f t="shared" si="24"/>
        <v>0</v>
      </c>
      <c r="AF185" s="116"/>
      <c r="AG185" s="118">
        <f t="shared" si="33"/>
        <v>0</v>
      </c>
      <c r="AH185" s="217"/>
      <c r="AI185" s="220"/>
      <c r="AJ185" s="220"/>
      <c r="AK185" s="150">
        <f t="shared" si="91"/>
        <v>0.52</v>
      </c>
      <c r="AL185" s="119">
        <f t="shared" si="91"/>
        <v>1871705.16</v>
      </c>
      <c r="AM185" s="120">
        <f t="shared" si="73"/>
        <v>0.52</v>
      </c>
      <c r="AN185" s="120">
        <v>0.52</v>
      </c>
      <c r="AO185" s="164">
        <f t="shared" si="74"/>
        <v>0</v>
      </c>
      <c r="AP185" s="150">
        <v>0.52</v>
      </c>
      <c r="AQ185" s="119">
        <f t="shared" si="75"/>
        <v>1871705.1600000001</v>
      </c>
      <c r="AR185" s="150">
        <f t="shared" si="72"/>
        <v>0</v>
      </c>
      <c r="AS185" s="165">
        <f t="shared" si="76"/>
        <v>0</v>
      </c>
      <c r="AT185" s="181"/>
      <c r="AU185" s="167">
        <f t="shared" si="78"/>
        <v>0</v>
      </c>
      <c r="AV185" s="121"/>
      <c r="AW185" s="121"/>
      <c r="AX185" s="121"/>
      <c r="AY185" s="121"/>
      <c r="AZ185" s="121"/>
      <c r="BA185" s="121"/>
      <c r="BB185" s="121"/>
      <c r="BC185" s="121"/>
      <c r="BD185" s="121"/>
      <c r="BE185" s="121"/>
      <c r="BF185" s="121"/>
      <c r="BG185" s="121"/>
    </row>
    <row r="186" spans="1:59" s="122" customFormat="1" ht="15" customHeight="1">
      <c r="A186" s="113">
        <v>5</v>
      </c>
      <c r="B186" s="114" t="s">
        <v>129</v>
      </c>
      <c r="C186" s="115"/>
      <c r="D186" s="116">
        <v>0.15</v>
      </c>
      <c r="E186" s="117">
        <f t="shared" si="89"/>
        <v>2699574.75</v>
      </c>
      <c r="F186" s="116">
        <v>0.26</v>
      </c>
      <c r="G186" s="117">
        <f t="shared" si="16"/>
        <v>701889.43500000006</v>
      </c>
      <c r="H186" s="116">
        <v>9.9999999999999978E-2</v>
      </c>
      <c r="I186" s="117">
        <f t="shared" si="90"/>
        <v>269957.47499999992</v>
      </c>
      <c r="J186" s="116">
        <v>0.19</v>
      </c>
      <c r="K186" s="117">
        <f t="shared" si="92"/>
        <v>512919.20250000001</v>
      </c>
      <c r="L186" s="116">
        <v>7.0000000000000007E-2</v>
      </c>
      <c r="M186" s="117">
        <f t="shared" si="32"/>
        <v>188970.23250000001</v>
      </c>
      <c r="N186" s="116">
        <v>0.04</v>
      </c>
      <c r="O186" s="117">
        <f t="shared" ref="O186:O274" si="93">+N186*$E186</f>
        <v>107982.99</v>
      </c>
      <c r="P186" s="116"/>
      <c r="Q186" s="117">
        <f t="shared" si="20"/>
        <v>0</v>
      </c>
      <c r="R186" s="116">
        <v>0.15</v>
      </c>
      <c r="S186" s="117">
        <f t="shared" ref="S186:S230" si="94">+R186*$E186</f>
        <v>404936.21249999997</v>
      </c>
      <c r="T186" s="116"/>
      <c r="U186" s="117">
        <f t="shared" si="27"/>
        <v>0</v>
      </c>
      <c r="V186" s="116">
        <v>0.26</v>
      </c>
      <c r="W186" s="117">
        <f t="shared" si="22"/>
        <v>701889.43500000006</v>
      </c>
      <c r="X186" s="116"/>
      <c r="Y186" s="117">
        <f t="shared" si="67"/>
        <v>0</v>
      </c>
      <c r="Z186" s="116"/>
      <c r="AA186" s="117">
        <f t="shared" si="23"/>
        <v>0</v>
      </c>
      <c r="AB186" s="116"/>
      <c r="AC186" s="117">
        <f t="shared" si="29"/>
        <v>0</v>
      </c>
      <c r="AD186" s="116"/>
      <c r="AE186" s="117">
        <f t="shared" si="24"/>
        <v>0</v>
      </c>
      <c r="AF186" s="116"/>
      <c r="AG186" s="118">
        <f t="shared" si="33"/>
        <v>0</v>
      </c>
      <c r="AH186" s="217"/>
      <c r="AI186" s="220"/>
      <c r="AJ186" s="220"/>
      <c r="AK186" s="150">
        <f t="shared" si="91"/>
        <v>0.43</v>
      </c>
      <c r="AL186" s="119">
        <f t="shared" si="91"/>
        <v>1160817.1424999998</v>
      </c>
      <c r="AM186" s="120">
        <f t="shared" si="73"/>
        <v>0.43</v>
      </c>
      <c r="AN186" s="120">
        <v>0.43</v>
      </c>
      <c r="AO186" s="164">
        <f t="shared" si="74"/>
        <v>0</v>
      </c>
      <c r="AP186" s="150">
        <v>0.43</v>
      </c>
      <c r="AQ186" s="119">
        <f t="shared" si="75"/>
        <v>1160817.1425000001</v>
      </c>
      <c r="AR186" s="150">
        <f t="shared" si="72"/>
        <v>0</v>
      </c>
      <c r="AS186" s="165">
        <f t="shared" si="76"/>
        <v>0</v>
      </c>
      <c r="AT186" s="181"/>
      <c r="AU186" s="167">
        <f t="shared" si="78"/>
        <v>0</v>
      </c>
      <c r="AV186" s="121"/>
      <c r="AW186" s="121"/>
      <c r="AX186" s="121"/>
      <c r="AY186" s="121"/>
      <c r="AZ186" s="121"/>
      <c r="BA186" s="121"/>
      <c r="BB186" s="121"/>
      <c r="BC186" s="121"/>
      <c r="BD186" s="121"/>
      <c r="BE186" s="121"/>
      <c r="BF186" s="121"/>
      <c r="BG186" s="121"/>
    </row>
    <row r="187" spans="1:59" s="122" customFormat="1" ht="15.75" customHeight="1">
      <c r="A187" s="113">
        <v>6</v>
      </c>
      <c r="B187" s="114" t="s">
        <v>130</v>
      </c>
      <c r="C187" s="115"/>
      <c r="D187" s="116">
        <v>0.15</v>
      </c>
      <c r="E187" s="117">
        <f t="shared" si="89"/>
        <v>2699574.75</v>
      </c>
      <c r="F187" s="116"/>
      <c r="G187" s="117">
        <f t="shared" si="16"/>
        <v>0</v>
      </c>
      <c r="H187" s="116">
        <v>0.1</v>
      </c>
      <c r="I187" s="117">
        <f t="shared" si="90"/>
        <v>269957.47500000003</v>
      </c>
      <c r="J187" s="116"/>
      <c r="K187" s="117">
        <f t="shared" si="92"/>
        <v>0</v>
      </c>
      <c r="L187" s="116"/>
      <c r="M187" s="117">
        <f t="shared" si="32"/>
        <v>0</v>
      </c>
      <c r="N187" s="116">
        <v>0.04</v>
      </c>
      <c r="O187" s="117">
        <f t="shared" si="93"/>
        <v>107982.99</v>
      </c>
      <c r="P187" s="116"/>
      <c r="Q187" s="117">
        <f t="shared" si="20"/>
        <v>0</v>
      </c>
      <c r="R187" s="116">
        <v>0.05</v>
      </c>
      <c r="S187" s="117">
        <f t="shared" si="94"/>
        <v>134978.73750000002</v>
      </c>
      <c r="T187" s="116"/>
      <c r="U187" s="117">
        <f t="shared" si="27"/>
        <v>0</v>
      </c>
      <c r="V187" s="116">
        <v>0.65</v>
      </c>
      <c r="W187" s="117">
        <f t="shared" si="22"/>
        <v>1754723.5875000001</v>
      </c>
      <c r="X187" s="116"/>
      <c r="Y187" s="117">
        <f t="shared" si="67"/>
        <v>0</v>
      </c>
      <c r="Z187" s="116">
        <v>0.16</v>
      </c>
      <c r="AA187" s="117">
        <f t="shared" si="23"/>
        <v>431931.96</v>
      </c>
      <c r="AB187" s="116"/>
      <c r="AC187" s="117">
        <f t="shared" si="29"/>
        <v>0</v>
      </c>
      <c r="AD187" s="116"/>
      <c r="AE187" s="117">
        <f t="shared" si="24"/>
        <v>0</v>
      </c>
      <c r="AF187" s="116"/>
      <c r="AG187" s="118">
        <f t="shared" si="33"/>
        <v>0</v>
      </c>
      <c r="AH187" s="217"/>
      <c r="AI187" s="220"/>
      <c r="AJ187" s="220"/>
      <c r="AK187" s="150">
        <f t="shared" si="91"/>
        <v>0.1</v>
      </c>
      <c r="AL187" s="119">
        <f t="shared" si="91"/>
        <v>269957.47500000003</v>
      </c>
      <c r="AM187" s="120">
        <f t="shared" si="73"/>
        <v>0.1</v>
      </c>
      <c r="AN187" s="120">
        <v>0.1</v>
      </c>
      <c r="AO187" s="164">
        <f t="shared" si="74"/>
        <v>0</v>
      </c>
      <c r="AP187" s="184">
        <v>0.1</v>
      </c>
      <c r="AQ187" s="185">
        <f t="shared" si="75"/>
        <v>269957.47500000003</v>
      </c>
      <c r="AR187" s="150">
        <f t="shared" si="72"/>
        <v>0</v>
      </c>
      <c r="AS187" s="165">
        <f t="shared" si="76"/>
        <v>0</v>
      </c>
      <c r="AT187" s="186"/>
      <c r="AU187" s="167">
        <f t="shared" si="78"/>
        <v>0</v>
      </c>
      <c r="AV187" s="187"/>
      <c r="AW187" s="187"/>
      <c r="AX187" s="187"/>
      <c r="AY187" s="187"/>
      <c r="AZ187" s="187"/>
      <c r="BA187" s="187"/>
      <c r="BB187" s="187"/>
      <c r="BC187" s="187"/>
      <c r="BD187" s="187"/>
      <c r="BE187" s="187"/>
      <c r="BF187" s="187"/>
      <c r="BG187" s="187"/>
    </row>
    <row r="188" spans="1:59" s="122" customFormat="1" ht="15" customHeight="1">
      <c r="A188" s="113">
        <v>7</v>
      </c>
      <c r="B188" s="114" t="s">
        <v>131</v>
      </c>
      <c r="C188" s="115"/>
      <c r="D188" s="116">
        <v>0.1</v>
      </c>
      <c r="E188" s="117">
        <f t="shared" si="89"/>
        <v>1799716.5</v>
      </c>
      <c r="F188" s="116"/>
      <c r="G188" s="117">
        <f t="shared" si="16"/>
        <v>0</v>
      </c>
      <c r="H188" s="116"/>
      <c r="I188" s="117">
        <f t="shared" si="90"/>
        <v>0</v>
      </c>
      <c r="J188" s="116"/>
      <c r="K188" s="117">
        <f t="shared" si="92"/>
        <v>0</v>
      </c>
      <c r="L188" s="116"/>
      <c r="M188" s="117">
        <f t="shared" si="32"/>
        <v>0</v>
      </c>
      <c r="N188" s="116"/>
      <c r="O188" s="117">
        <f t="shared" si="93"/>
        <v>0</v>
      </c>
      <c r="P188" s="116"/>
      <c r="Q188" s="117">
        <f t="shared" si="20"/>
        <v>0</v>
      </c>
      <c r="R188" s="116">
        <v>0.05</v>
      </c>
      <c r="S188" s="117">
        <f t="shared" si="94"/>
        <v>89985.825000000012</v>
      </c>
      <c r="T188" s="116"/>
      <c r="U188" s="117">
        <f t="shared" si="27"/>
        <v>0</v>
      </c>
      <c r="V188" s="116">
        <v>0.15</v>
      </c>
      <c r="W188" s="117">
        <f t="shared" si="22"/>
        <v>269957.47499999998</v>
      </c>
      <c r="X188" s="116"/>
      <c r="Y188" s="117">
        <f t="shared" si="67"/>
        <v>0</v>
      </c>
      <c r="Z188" s="116">
        <v>0.8</v>
      </c>
      <c r="AA188" s="117">
        <f t="shared" si="23"/>
        <v>1439773.2000000002</v>
      </c>
      <c r="AB188" s="116"/>
      <c r="AC188" s="117">
        <f t="shared" si="29"/>
        <v>0</v>
      </c>
      <c r="AD188" s="116"/>
      <c r="AE188" s="117">
        <f t="shared" si="24"/>
        <v>0</v>
      </c>
      <c r="AF188" s="116"/>
      <c r="AG188" s="118">
        <f t="shared" si="33"/>
        <v>0</v>
      </c>
      <c r="AH188" s="217"/>
      <c r="AI188" s="220"/>
      <c r="AJ188" s="220"/>
      <c r="AK188" s="150">
        <f t="shared" si="91"/>
        <v>0</v>
      </c>
      <c r="AL188" s="119">
        <f t="shared" si="91"/>
        <v>0</v>
      </c>
      <c r="AM188" s="120">
        <f t="shared" si="73"/>
        <v>0</v>
      </c>
      <c r="AN188" s="120">
        <v>0</v>
      </c>
      <c r="AO188" s="164">
        <f t="shared" si="74"/>
        <v>0</v>
      </c>
      <c r="AP188" s="150">
        <v>0</v>
      </c>
      <c r="AQ188" s="119">
        <f t="shared" si="75"/>
        <v>0</v>
      </c>
      <c r="AR188" s="150">
        <f t="shared" si="72"/>
        <v>0</v>
      </c>
      <c r="AS188" s="165">
        <f t="shared" si="76"/>
        <v>0</v>
      </c>
      <c r="AT188" s="181"/>
      <c r="AU188" s="167">
        <f t="shared" si="78"/>
        <v>0</v>
      </c>
      <c r="AV188" s="121"/>
      <c r="AW188" s="121"/>
      <c r="AX188" s="121"/>
      <c r="AY188" s="121"/>
      <c r="AZ188" s="121"/>
      <c r="BA188" s="121"/>
      <c r="BB188" s="121"/>
      <c r="BC188" s="121"/>
      <c r="BD188" s="121"/>
      <c r="BE188" s="121"/>
      <c r="BF188" s="121"/>
      <c r="BG188" s="121"/>
    </row>
    <row r="189" spans="1:59" s="122" customFormat="1" ht="15" customHeight="1">
      <c r="A189" s="113">
        <v>8</v>
      </c>
      <c r="B189" s="114" t="s">
        <v>132</v>
      </c>
      <c r="C189" s="115"/>
      <c r="D189" s="116">
        <v>0.05</v>
      </c>
      <c r="E189" s="117">
        <f t="shared" si="89"/>
        <v>899858.25</v>
      </c>
      <c r="F189" s="116"/>
      <c r="G189" s="117">
        <f t="shared" si="16"/>
        <v>0</v>
      </c>
      <c r="H189" s="116"/>
      <c r="I189" s="117">
        <f t="shared" si="90"/>
        <v>0</v>
      </c>
      <c r="J189" s="116"/>
      <c r="K189" s="117">
        <f t="shared" si="92"/>
        <v>0</v>
      </c>
      <c r="L189" s="116"/>
      <c r="M189" s="117">
        <f t="shared" si="32"/>
        <v>0</v>
      </c>
      <c r="N189" s="116"/>
      <c r="O189" s="117">
        <f t="shared" si="93"/>
        <v>0</v>
      </c>
      <c r="P189" s="116"/>
      <c r="Q189" s="117">
        <f t="shared" si="20"/>
        <v>0</v>
      </c>
      <c r="R189" s="116"/>
      <c r="S189" s="117">
        <f t="shared" si="94"/>
        <v>0</v>
      </c>
      <c r="T189" s="116"/>
      <c r="U189" s="117">
        <f t="shared" si="27"/>
        <v>0</v>
      </c>
      <c r="V189" s="116"/>
      <c r="W189" s="117">
        <f t="shared" si="22"/>
        <v>0</v>
      </c>
      <c r="X189" s="116"/>
      <c r="Y189" s="117">
        <f t="shared" si="67"/>
        <v>0</v>
      </c>
      <c r="Z189" s="116">
        <v>0.215</v>
      </c>
      <c r="AA189" s="117">
        <f t="shared" si="23"/>
        <v>193469.52374999999</v>
      </c>
      <c r="AB189" s="116"/>
      <c r="AC189" s="117">
        <f t="shared" si="29"/>
        <v>0</v>
      </c>
      <c r="AD189" s="116">
        <v>0.78500000000000003</v>
      </c>
      <c r="AE189" s="117">
        <f t="shared" si="24"/>
        <v>706388.72625000007</v>
      </c>
      <c r="AF189" s="116"/>
      <c r="AG189" s="118">
        <f t="shared" si="33"/>
        <v>0</v>
      </c>
      <c r="AH189" s="217"/>
      <c r="AI189" s="220"/>
      <c r="AJ189" s="220"/>
      <c r="AK189" s="150">
        <f t="shared" si="91"/>
        <v>0</v>
      </c>
      <c r="AL189" s="119">
        <f t="shared" si="91"/>
        <v>0</v>
      </c>
      <c r="AM189" s="120">
        <f t="shared" si="73"/>
        <v>0</v>
      </c>
      <c r="AN189" s="120">
        <v>0</v>
      </c>
      <c r="AO189" s="164">
        <f t="shared" si="74"/>
        <v>0</v>
      </c>
      <c r="AP189" s="150">
        <v>0</v>
      </c>
      <c r="AQ189" s="119">
        <f t="shared" si="75"/>
        <v>0</v>
      </c>
      <c r="AR189" s="150">
        <f t="shared" si="72"/>
        <v>0</v>
      </c>
      <c r="AS189" s="165">
        <f t="shared" si="76"/>
        <v>0</v>
      </c>
      <c r="AT189" s="181"/>
      <c r="AU189" s="167">
        <f t="shared" si="78"/>
        <v>0</v>
      </c>
      <c r="AV189" s="121"/>
      <c r="AW189" s="121"/>
      <c r="AX189" s="121"/>
      <c r="AY189" s="121"/>
      <c r="AZ189" s="121"/>
      <c r="BA189" s="121"/>
      <c r="BB189" s="121"/>
      <c r="BC189" s="121"/>
      <c r="BD189" s="121"/>
      <c r="BE189" s="121"/>
      <c r="BF189" s="121"/>
      <c r="BG189" s="121"/>
    </row>
    <row r="190" spans="1:59" s="122" customFormat="1" ht="15" customHeight="1">
      <c r="A190" s="113"/>
      <c r="B190" s="128" t="s">
        <v>133</v>
      </c>
      <c r="C190" s="129"/>
      <c r="D190" s="183"/>
      <c r="E190" s="117"/>
      <c r="F190" s="116"/>
      <c r="G190" s="117">
        <f t="shared" si="16"/>
        <v>0</v>
      </c>
      <c r="H190" s="116"/>
      <c r="I190" s="117"/>
      <c r="J190" s="116"/>
      <c r="K190" s="117">
        <f t="shared" si="92"/>
        <v>0</v>
      </c>
      <c r="L190" s="116"/>
      <c r="M190" s="117">
        <f t="shared" si="32"/>
        <v>0</v>
      </c>
      <c r="N190" s="116"/>
      <c r="O190" s="117">
        <f t="shared" si="93"/>
        <v>0</v>
      </c>
      <c r="P190" s="116"/>
      <c r="Q190" s="117">
        <f t="shared" si="20"/>
        <v>0</v>
      </c>
      <c r="R190" s="116"/>
      <c r="S190" s="117">
        <f t="shared" si="94"/>
        <v>0</v>
      </c>
      <c r="T190" s="116"/>
      <c r="U190" s="117">
        <f t="shared" si="27"/>
        <v>0</v>
      </c>
      <c r="V190" s="116"/>
      <c r="W190" s="117">
        <f t="shared" si="22"/>
        <v>0</v>
      </c>
      <c r="X190" s="116"/>
      <c r="Y190" s="117">
        <f t="shared" si="67"/>
        <v>0</v>
      </c>
      <c r="Z190" s="116"/>
      <c r="AA190" s="117">
        <f t="shared" si="23"/>
        <v>0</v>
      </c>
      <c r="AB190" s="116"/>
      <c r="AC190" s="117">
        <f t="shared" si="29"/>
        <v>0</v>
      </c>
      <c r="AD190" s="116"/>
      <c r="AE190" s="117">
        <f t="shared" si="24"/>
        <v>0</v>
      </c>
      <c r="AF190" s="116"/>
      <c r="AG190" s="118">
        <f t="shared" si="33"/>
        <v>0</v>
      </c>
      <c r="AH190" s="217"/>
      <c r="AI190" s="220"/>
      <c r="AJ190" s="220"/>
      <c r="AK190" s="150">
        <f t="shared" si="91"/>
        <v>0</v>
      </c>
      <c r="AL190" s="119">
        <f t="shared" si="91"/>
        <v>0</v>
      </c>
      <c r="AM190" s="120">
        <f t="shared" si="73"/>
        <v>0</v>
      </c>
      <c r="AN190" s="120">
        <v>0</v>
      </c>
      <c r="AO190" s="164">
        <f t="shared" si="74"/>
        <v>0</v>
      </c>
      <c r="AP190" s="150">
        <v>0</v>
      </c>
      <c r="AQ190" s="119">
        <f t="shared" si="75"/>
        <v>0</v>
      </c>
      <c r="AR190" s="150">
        <f t="shared" si="72"/>
        <v>0</v>
      </c>
      <c r="AS190" s="165">
        <f t="shared" si="76"/>
        <v>0</v>
      </c>
      <c r="AT190" s="181"/>
      <c r="AU190" s="167">
        <f t="shared" si="78"/>
        <v>0</v>
      </c>
      <c r="AV190" s="121"/>
      <c r="AW190" s="121"/>
      <c r="AX190" s="121"/>
      <c r="AY190" s="121"/>
      <c r="AZ190" s="121"/>
      <c r="BA190" s="121"/>
      <c r="BB190" s="121"/>
      <c r="BC190" s="121"/>
      <c r="BD190" s="121"/>
      <c r="BE190" s="121"/>
      <c r="BF190" s="121"/>
      <c r="BG190" s="121"/>
    </row>
    <row r="191" spans="1:59" s="122" customFormat="1" ht="15.75" customHeight="1">
      <c r="A191" s="113">
        <v>1</v>
      </c>
      <c r="B191" s="114" t="s">
        <v>134</v>
      </c>
      <c r="C191" s="188">
        <v>3353966</v>
      </c>
      <c r="D191" s="116">
        <v>1</v>
      </c>
      <c r="E191" s="117">
        <f>+D191*C191</f>
        <v>3353966</v>
      </c>
      <c r="F191" s="116"/>
      <c r="G191" s="117">
        <f t="shared" si="16"/>
        <v>0</v>
      </c>
      <c r="H191" s="116"/>
      <c r="I191" s="117"/>
      <c r="J191" s="116"/>
      <c r="K191" s="117">
        <f t="shared" si="92"/>
        <v>0</v>
      </c>
      <c r="L191" s="116"/>
      <c r="M191" s="117">
        <f t="shared" si="32"/>
        <v>0</v>
      </c>
      <c r="N191" s="116"/>
      <c r="O191" s="117">
        <f t="shared" si="93"/>
        <v>0</v>
      </c>
      <c r="P191" s="116"/>
      <c r="Q191" s="117">
        <f t="shared" si="20"/>
        <v>0</v>
      </c>
      <c r="R191" s="116"/>
      <c r="S191" s="117">
        <f t="shared" si="94"/>
        <v>0</v>
      </c>
      <c r="T191" s="116"/>
      <c r="U191" s="117">
        <f t="shared" si="27"/>
        <v>0</v>
      </c>
      <c r="V191" s="116"/>
      <c r="W191" s="117">
        <f t="shared" si="22"/>
        <v>0</v>
      </c>
      <c r="X191" s="116"/>
      <c r="Y191" s="117">
        <f t="shared" si="67"/>
        <v>0</v>
      </c>
      <c r="Z191" s="116">
        <v>0.28999999999999998</v>
      </c>
      <c r="AA191" s="117">
        <f t="shared" si="23"/>
        <v>972650.1399999999</v>
      </c>
      <c r="AB191" s="116"/>
      <c r="AC191" s="117">
        <f t="shared" si="29"/>
        <v>0</v>
      </c>
      <c r="AD191" s="116">
        <v>0.71</v>
      </c>
      <c r="AE191" s="117">
        <f t="shared" si="24"/>
        <v>2381315.86</v>
      </c>
      <c r="AF191" s="116"/>
      <c r="AG191" s="118">
        <f t="shared" si="33"/>
        <v>0</v>
      </c>
      <c r="AH191" s="218"/>
      <c r="AI191" s="221"/>
      <c r="AJ191" s="221"/>
      <c r="AK191" s="150">
        <f t="shared" si="91"/>
        <v>0</v>
      </c>
      <c r="AL191" s="119">
        <f t="shared" si="91"/>
        <v>0</v>
      </c>
      <c r="AM191" s="120">
        <f t="shared" si="73"/>
        <v>0</v>
      </c>
      <c r="AN191" s="120">
        <v>0</v>
      </c>
      <c r="AO191" s="164">
        <f t="shared" si="74"/>
        <v>0</v>
      </c>
      <c r="AP191" s="150">
        <v>0</v>
      </c>
      <c r="AQ191" s="119">
        <f t="shared" si="75"/>
        <v>0</v>
      </c>
      <c r="AR191" s="150">
        <f t="shared" si="72"/>
        <v>0</v>
      </c>
      <c r="AS191" s="165">
        <f t="shared" si="76"/>
        <v>0</v>
      </c>
      <c r="AT191" s="181"/>
      <c r="AU191" s="167">
        <f t="shared" si="78"/>
        <v>0</v>
      </c>
      <c r="AV191" s="121"/>
      <c r="AW191" s="121"/>
      <c r="AX191" s="121"/>
      <c r="AY191" s="121"/>
      <c r="AZ191" s="121"/>
      <c r="BA191" s="121"/>
      <c r="BB191" s="121"/>
      <c r="BC191" s="121"/>
      <c r="BD191" s="121"/>
      <c r="BE191" s="121"/>
      <c r="BF191" s="121"/>
      <c r="BG191" s="121"/>
    </row>
    <row r="192" spans="1:59" ht="15" customHeight="1">
      <c r="A192" s="66" t="s">
        <v>135</v>
      </c>
      <c r="B192" s="67" t="s">
        <v>136</v>
      </c>
      <c r="C192" s="68"/>
      <c r="D192" s="69"/>
      <c r="E192" s="70"/>
      <c r="F192" s="71"/>
      <c r="G192" s="72">
        <f t="shared" si="16"/>
        <v>0</v>
      </c>
      <c r="H192" s="71"/>
      <c r="I192" s="72"/>
      <c r="J192" s="72"/>
      <c r="K192" s="72">
        <f t="shared" si="92"/>
        <v>0</v>
      </c>
      <c r="L192" s="71"/>
      <c r="M192" s="72">
        <f t="shared" si="32"/>
        <v>0</v>
      </c>
      <c r="N192" s="72"/>
      <c r="O192" s="72">
        <f t="shared" si="93"/>
        <v>0</v>
      </c>
      <c r="P192" s="71"/>
      <c r="Q192" s="72">
        <f t="shared" si="20"/>
        <v>0</v>
      </c>
      <c r="R192" s="72"/>
      <c r="S192" s="72">
        <f t="shared" si="94"/>
        <v>0</v>
      </c>
      <c r="T192" s="71"/>
      <c r="U192" s="72">
        <f t="shared" si="27"/>
        <v>0</v>
      </c>
      <c r="V192" s="72"/>
      <c r="W192" s="72">
        <f t="shared" si="22"/>
        <v>0</v>
      </c>
      <c r="X192" s="71"/>
      <c r="Y192" s="72">
        <f t="shared" si="67"/>
        <v>0</v>
      </c>
      <c r="Z192" s="72"/>
      <c r="AA192" s="72">
        <f t="shared" si="23"/>
        <v>0</v>
      </c>
      <c r="AB192" s="71"/>
      <c r="AC192" s="72">
        <f t="shared" si="29"/>
        <v>0</v>
      </c>
      <c r="AD192" s="72"/>
      <c r="AE192" s="72">
        <f t="shared" si="24"/>
        <v>0</v>
      </c>
      <c r="AF192" s="71"/>
      <c r="AG192" s="73">
        <f t="shared" si="33"/>
        <v>0</v>
      </c>
      <c r="AH192" s="18"/>
      <c r="AI192" s="20"/>
      <c r="AJ192" s="20"/>
      <c r="AK192" s="17">
        <f t="shared" si="91"/>
        <v>0</v>
      </c>
      <c r="AL192" s="23">
        <f t="shared" si="91"/>
        <v>0</v>
      </c>
      <c r="AM192" s="4">
        <f t="shared" si="73"/>
        <v>0</v>
      </c>
      <c r="AN192" s="4">
        <v>0</v>
      </c>
      <c r="AO192" s="136">
        <f t="shared" si="74"/>
        <v>0</v>
      </c>
      <c r="AP192" s="17">
        <v>0</v>
      </c>
      <c r="AQ192" s="23">
        <f t="shared" si="75"/>
        <v>0</v>
      </c>
      <c r="AR192" s="17">
        <f t="shared" si="72"/>
        <v>0</v>
      </c>
      <c r="AS192" s="141">
        <f t="shared" si="76"/>
        <v>0</v>
      </c>
      <c r="AT192" s="158"/>
      <c r="AU192" s="146">
        <f t="shared" si="78"/>
        <v>0</v>
      </c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</row>
    <row r="193" spans="1:59" s="122" customFormat="1" ht="15" customHeight="1">
      <c r="A193" s="113"/>
      <c r="B193" s="189" t="s">
        <v>137</v>
      </c>
      <c r="C193" s="190"/>
      <c r="D193" s="191"/>
      <c r="E193" s="117"/>
      <c r="F193" s="116"/>
      <c r="G193" s="117">
        <f t="shared" si="16"/>
        <v>0</v>
      </c>
      <c r="H193" s="116"/>
      <c r="I193" s="117"/>
      <c r="J193" s="116"/>
      <c r="K193" s="117">
        <f t="shared" si="92"/>
        <v>0</v>
      </c>
      <c r="L193" s="116"/>
      <c r="M193" s="117">
        <f t="shared" si="32"/>
        <v>0</v>
      </c>
      <c r="N193" s="116"/>
      <c r="O193" s="117">
        <f t="shared" si="93"/>
        <v>0</v>
      </c>
      <c r="P193" s="116"/>
      <c r="Q193" s="117">
        <f t="shared" si="20"/>
        <v>0</v>
      </c>
      <c r="R193" s="116"/>
      <c r="S193" s="117">
        <f t="shared" si="94"/>
        <v>0</v>
      </c>
      <c r="T193" s="116"/>
      <c r="U193" s="117">
        <f t="shared" si="27"/>
        <v>0</v>
      </c>
      <c r="V193" s="116"/>
      <c r="W193" s="117">
        <f t="shared" si="22"/>
        <v>0</v>
      </c>
      <c r="X193" s="116"/>
      <c r="Y193" s="117">
        <f t="shared" si="67"/>
        <v>0</v>
      </c>
      <c r="Z193" s="116"/>
      <c r="AA193" s="117">
        <f t="shared" si="23"/>
        <v>0</v>
      </c>
      <c r="AB193" s="116"/>
      <c r="AC193" s="117">
        <f t="shared" si="29"/>
        <v>0</v>
      </c>
      <c r="AD193" s="116"/>
      <c r="AE193" s="117">
        <f t="shared" si="24"/>
        <v>0</v>
      </c>
      <c r="AF193" s="116"/>
      <c r="AG193" s="118">
        <f t="shared" si="33"/>
        <v>0</v>
      </c>
      <c r="AH193" s="192"/>
      <c r="AI193" s="193"/>
      <c r="AJ193" s="193"/>
      <c r="AK193" s="150">
        <f t="shared" si="91"/>
        <v>0</v>
      </c>
      <c r="AL193" s="119">
        <f t="shared" si="91"/>
        <v>0</v>
      </c>
      <c r="AM193" s="120">
        <f t="shared" si="73"/>
        <v>0</v>
      </c>
      <c r="AN193" s="120">
        <v>0</v>
      </c>
      <c r="AO193" s="164">
        <f t="shared" si="74"/>
        <v>0</v>
      </c>
      <c r="AP193" s="150">
        <v>0</v>
      </c>
      <c r="AQ193" s="119">
        <f t="shared" si="75"/>
        <v>0</v>
      </c>
      <c r="AR193" s="150">
        <f t="shared" si="72"/>
        <v>0</v>
      </c>
      <c r="AS193" s="165">
        <f t="shared" si="76"/>
        <v>0</v>
      </c>
      <c r="AT193" s="181"/>
      <c r="AU193" s="167">
        <f t="shared" si="78"/>
        <v>0</v>
      </c>
      <c r="AV193" s="121"/>
      <c r="AW193" s="121"/>
      <c r="AX193" s="121"/>
      <c r="AY193" s="121"/>
      <c r="AZ193" s="121"/>
      <c r="BA193" s="121"/>
      <c r="BB193" s="121"/>
      <c r="BC193" s="121"/>
      <c r="BD193" s="121"/>
      <c r="BE193" s="121"/>
      <c r="BF193" s="121"/>
      <c r="BG193" s="121"/>
    </row>
    <row r="194" spans="1:59" ht="15" customHeight="1">
      <c r="A194" s="74" t="s">
        <v>138</v>
      </c>
      <c r="B194" s="75" t="s">
        <v>139</v>
      </c>
      <c r="C194" s="76">
        <f>9582759-1000000</f>
        <v>8582759</v>
      </c>
      <c r="D194" s="77"/>
      <c r="E194" s="78"/>
      <c r="F194" s="79"/>
      <c r="G194" s="80">
        <f t="shared" si="16"/>
        <v>0</v>
      </c>
      <c r="H194" s="79"/>
      <c r="I194" s="80"/>
      <c r="J194" s="80"/>
      <c r="K194" s="80">
        <f t="shared" si="92"/>
        <v>0</v>
      </c>
      <c r="L194" s="79"/>
      <c r="M194" s="80">
        <f t="shared" si="32"/>
        <v>0</v>
      </c>
      <c r="N194" s="80"/>
      <c r="O194" s="80">
        <f t="shared" si="93"/>
        <v>0</v>
      </c>
      <c r="P194" s="79"/>
      <c r="Q194" s="80">
        <f t="shared" si="20"/>
        <v>0</v>
      </c>
      <c r="R194" s="80"/>
      <c r="S194" s="80">
        <f t="shared" si="94"/>
        <v>0</v>
      </c>
      <c r="T194" s="79"/>
      <c r="U194" s="80">
        <f t="shared" si="27"/>
        <v>0</v>
      </c>
      <c r="V194" s="80"/>
      <c r="W194" s="80">
        <f t="shared" si="22"/>
        <v>0</v>
      </c>
      <c r="X194" s="79"/>
      <c r="Y194" s="80">
        <f t="shared" si="67"/>
        <v>0</v>
      </c>
      <c r="Z194" s="80"/>
      <c r="AA194" s="80">
        <f t="shared" si="23"/>
        <v>0</v>
      </c>
      <c r="AB194" s="79"/>
      <c r="AC194" s="80">
        <f t="shared" si="29"/>
        <v>0</v>
      </c>
      <c r="AD194" s="80"/>
      <c r="AE194" s="80">
        <f t="shared" si="24"/>
        <v>0</v>
      </c>
      <c r="AF194" s="79"/>
      <c r="AG194" s="81">
        <f t="shared" si="33"/>
        <v>0</v>
      </c>
      <c r="AH194" s="216">
        <f>SUM(E195:E203)</f>
        <v>8582758.9999999981</v>
      </c>
      <c r="AI194" s="219">
        <f>SUM(AC195:AC203)+SUM(U195:U203)+SUM(M195:M203)+SUM(Q195:Q203)+SUM(Y195:Y203)+SUM(AG195:AG203)+SUM(G195:G203)+SUM(I195:I203)</f>
        <v>6608724.4299999997</v>
      </c>
      <c r="AJ194" s="222">
        <f>AI194/AH194</f>
        <v>0.77000000000000013</v>
      </c>
      <c r="AK194" s="17">
        <f t="shared" si="91"/>
        <v>0</v>
      </c>
      <c r="AL194" s="23">
        <f t="shared" si="91"/>
        <v>0</v>
      </c>
      <c r="AM194" s="4">
        <f t="shared" si="73"/>
        <v>0</v>
      </c>
      <c r="AN194" s="4">
        <v>0</v>
      </c>
      <c r="AO194" s="136">
        <f t="shared" si="74"/>
        <v>0</v>
      </c>
      <c r="AP194" s="17">
        <v>0</v>
      </c>
      <c r="AQ194" s="23">
        <f t="shared" si="75"/>
        <v>0</v>
      </c>
      <c r="AR194" s="17">
        <f t="shared" si="72"/>
        <v>0</v>
      </c>
      <c r="AS194" s="141">
        <f t="shared" si="76"/>
        <v>0</v>
      </c>
      <c r="AT194" s="158"/>
      <c r="AU194" s="146">
        <f t="shared" si="78"/>
        <v>0</v>
      </c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</row>
    <row r="195" spans="1:59" s="122" customFormat="1" ht="15" customHeight="1">
      <c r="A195" s="113">
        <v>1</v>
      </c>
      <c r="B195" s="114" t="s">
        <v>125</v>
      </c>
      <c r="C195" s="115"/>
      <c r="D195" s="116">
        <v>0.02</v>
      </c>
      <c r="E195" s="117">
        <f t="shared" ref="E195:E203" si="95">+D195*$C$194</f>
        <v>171655.18</v>
      </c>
      <c r="F195" s="116">
        <v>1</v>
      </c>
      <c r="G195" s="117">
        <f t="shared" si="16"/>
        <v>171655.18</v>
      </c>
      <c r="H195" s="116"/>
      <c r="I195" s="117"/>
      <c r="J195" s="116"/>
      <c r="K195" s="117">
        <f t="shared" si="92"/>
        <v>0</v>
      </c>
      <c r="L195" s="116"/>
      <c r="M195" s="117">
        <f t="shared" si="32"/>
        <v>0</v>
      </c>
      <c r="N195" s="116"/>
      <c r="O195" s="117">
        <f t="shared" si="93"/>
        <v>0</v>
      </c>
      <c r="P195" s="116"/>
      <c r="Q195" s="117">
        <f t="shared" si="20"/>
        <v>0</v>
      </c>
      <c r="R195" s="116"/>
      <c r="S195" s="117">
        <f t="shared" si="94"/>
        <v>0</v>
      </c>
      <c r="T195" s="116"/>
      <c r="U195" s="117">
        <f t="shared" si="27"/>
        <v>0</v>
      </c>
      <c r="V195" s="116"/>
      <c r="W195" s="117">
        <f t="shared" si="22"/>
        <v>0</v>
      </c>
      <c r="X195" s="116"/>
      <c r="Y195" s="117">
        <f t="shared" si="67"/>
        <v>0</v>
      </c>
      <c r="Z195" s="116"/>
      <c r="AA195" s="117">
        <f t="shared" si="23"/>
        <v>0</v>
      </c>
      <c r="AB195" s="116"/>
      <c r="AC195" s="117">
        <f t="shared" si="29"/>
        <v>0</v>
      </c>
      <c r="AD195" s="116"/>
      <c r="AE195" s="117">
        <f t="shared" si="24"/>
        <v>0</v>
      </c>
      <c r="AF195" s="116"/>
      <c r="AG195" s="118">
        <f t="shared" si="33"/>
        <v>0</v>
      </c>
      <c r="AH195" s="217"/>
      <c r="AI195" s="220"/>
      <c r="AJ195" s="220"/>
      <c r="AK195" s="150">
        <f t="shared" si="91"/>
        <v>1</v>
      </c>
      <c r="AL195" s="119">
        <f t="shared" si="91"/>
        <v>171655.18</v>
      </c>
      <c r="AM195" s="120">
        <f t="shared" si="73"/>
        <v>1</v>
      </c>
      <c r="AN195" s="120">
        <v>1</v>
      </c>
      <c r="AO195" s="164">
        <f t="shared" si="74"/>
        <v>0</v>
      </c>
      <c r="AP195" s="150">
        <v>1</v>
      </c>
      <c r="AQ195" s="119">
        <f t="shared" si="75"/>
        <v>171655.18</v>
      </c>
      <c r="AR195" s="150">
        <f t="shared" si="72"/>
        <v>0</v>
      </c>
      <c r="AS195" s="165">
        <f t="shared" si="76"/>
        <v>0</v>
      </c>
      <c r="AT195" s="181"/>
      <c r="AU195" s="167">
        <f t="shared" si="78"/>
        <v>0</v>
      </c>
      <c r="AV195" s="121"/>
      <c r="AW195" s="121"/>
      <c r="AX195" s="121"/>
      <c r="AY195" s="121"/>
      <c r="AZ195" s="121"/>
      <c r="BA195" s="121"/>
      <c r="BB195" s="121"/>
      <c r="BC195" s="121"/>
      <c r="BD195" s="121"/>
      <c r="BE195" s="121"/>
      <c r="BF195" s="121"/>
      <c r="BG195" s="121"/>
    </row>
    <row r="196" spans="1:59" s="122" customFormat="1" ht="15" customHeight="1">
      <c r="A196" s="113">
        <v>2</v>
      </c>
      <c r="B196" s="114" t="s">
        <v>126</v>
      </c>
      <c r="C196" s="115"/>
      <c r="D196" s="116">
        <v>0.1</v>
      </c>
      <c r="E196" s="117">
        <f t="shared" si="95"/>
        <v>858275.9</v>
      </c>
      <c r="F196" s="116">
        <v>0.4</v>
      </c>
      <c r="G196" s="117">
        <f t="shared" si="16"/>
        <v>343310.36000000004</v>
      </c>
      <c r="H196" s="116">
        <v>0.6</v>
      </c>
      <c r="I196" s="117">
        <f t="shared" ref="I196:I201" si="96">+H196*$E196</f>
        <v>514965.54</v>
      </c>
      <c r="J196" s="116"/>
      <c r="K196" s="117">
        <f t="shared" si="92"/>
        <v>0</v>
      </c>
      <c r="L196" s="116"/>
      <c r="M196" s="117">
        <f t="shared" si="32"/>
        <v>0</v>
      </c>
      <c r="N196" s="116"/>
      <c r="O196" s="117">
        <f t="shared" si="93"/>
        <v>0</v>
      </c>
      <c r="P196" s="116"/>
      <c r="Q196" s="117">
        <f t="shared" si="20"/>
        <v>0</v>
      </c>
      <c r="R196" s="116"/>
      <c r="S196" s="117">
        <f t="shared" si="94"/>
        <v>0</v>
      </c>
      <c r="T196" s="116"/>
      <c r="U196" s="117">
        <f t="shared" si="27"/>
        <v>0</v>
      </c>
      <c r="V196" s="116"/>
      <c r="W196" s="117">
        <f t="shared" si="22"/>
        <v>0</v>
      </c>
      <c r="X196" s="116"/>
      <c r="Y196" s="117">
        <f t="shared" si="67"/>
        <v>0</v>
      </c>
      <c r="Z196" s="116"/>
      <c r="AA196" s="117">
        <f t="shared" si="23"/>
        <v>0</v>
      </c>
      <c r="AB196" s="116"/>
      <c r="AC196" s="117">
        <f t="shared" si="29"/>
        <v>0</v>
      </c>
      <c r="AD196" s="116"/>
      <c r="AE196" s="117">
        <f t="shared" si="24"/>
        <v>0</v>
      </c>
      <c r="AF196" s="116"/>
      <c r="AG196" s="118">
        <f t="shared" si="33"/>
        <v>0</v>
      </c>
      <c r="AH196" s="217"/>
      <c r="AI196" s="220"/>
      <c r="AJ196" s="220"/>
      <c r="AK196" s="150">
        <f t="shared" si="91"/>
        <v>1</v>
      </c>
      <c r="AL196" s="119">
        <f t="shared" si="91"/>
        <v>858275.9</v>
      </c>
      <c r="AM196" s="120">
        <f t="shared" si="73"/>
        <v>1</v>
      </c>
      <c r="AN196" s="120">
        <v>1</v>
      </c>
      <c r="AO196" s="164">
        <f t="shared" si="74"/>
        <v>0</v>
      </c>
      <c r="AP196" s="150">
        <v>1</v>
      </c>
      <c r="AQ196" s="119">
        <f t="shared" si="75"/>
        <v>858275.9</v>
      </c>
      <c r="AR196" s="150">
        <f t="shared" si="72"/>
        <v>0</v>
      </c>
      <c r="AS196" s="165">
        <f t="shared" si="76"/>
        <v>0</v>
      </c>
      <c r="AT196" s="181"/>
      <c r="AU196" s="167">
        <f t="shared" si="78"/>
        <v>0</v>
      </c>
      <c r="AV196" s="121"/>
      <c r="AW196" s="121"/>
      <c r="AX196" s="121"/>
      <c r="AY196" s="121"/>
      <c r="AZ196" s="121"/>
      <c r="BA196" s="121"/>
      <c r="BB196" s="121"/>
      <c r="BC196" s="121"/>
      <c r="BD196" s="121"/>
      <c r="BE196" s="121"/>
      <c r="BF196" s="121"/>
      <c r="BG196" s="121"/>
    </row>
    <row r="197" spans="1:59" s="122" customFormat="1" ht="15" customHeight="1">
      <c r="A197" s="113">
        <v>3</v>
      </c>
      <c r="B197" s="114" t="s">
        <v>127</v>
      </c>
      <c r="C197" s="115"/>
      <c r="D197" s="116">
        <v>0.15</v>
      </c>
      <c r="E197" s="117">
        <f t="shared" si="95"/>
        <v>1287413.8499999999</v>
      </c>
      <c r="F197" s="116"/>
      <c r="G197" s="117">
        <f t="shared" si="16"/>
        <v>0</v>
      </c>
      <c r="H197" s="116">
        <v>1</v>
      </c>
      <c r="I197" s="117">
        <f t="shared" si="96"/>
        <v>1287413.8499999999</v>
      </c>
      <c r="J197" s="116"/>
      <c r="K197" s="117">
        <f t="shared" si="92"/>
        <v>0</v>
      </c>
      <c r="L197" s="116"/>
      <c r="M197" s="117">
        <f t="shared" si="32"/>
        <v>0</v>
      </c>
      <c r="N197" s="116"/>
      <c r="O197" s="117">
        <f t="shared" si="93"/>
        <v>0</v>
      </c>
      <c r="P197" s="116"/>
      <c r="Q197" s="117">
        <f t="shared" si="20"/>
        <v>0</v>
      </c>
      <c r="R197" s="116"/>
      <c r="S197" s="117">
        <f t="shared" si="94"/>
        <v>0</v>
      </c>
      <c r="T197" s="116"/>
      <c r="U197" s="117">
        <f t="shared" si="27"/>
        <v>0</v>
      </c>
      <c r="V197" s="116"/>
      <c r="W197" s="117">
        <f t="shared" si="22"/>
        <v>0</v>
      </c>
      <c r="X197" s="116"/>
      <c r="Y197" s="117">
        <f t="shared" si="67"/>
        <v>0</v>
      </c>
      <c r="Z197" s="116"/>
      <c r="AA197" s="117">
        <f t="shared" si="23"/>
        <v>0</v>
      </c>
      <c r="AB197" s="116"/>
      <c r="AC197" s="117">
        <f t="shared" si="29"/>
        <v>0</v>
      </c>
      <c r="AD197" s="116"/>
      <c r="AE197" s="117">
        <f t="shared" si="24"/>
        <v>0</v>
      </c>
      <c r="AF197" s="116"/>
      <c r="AG197" s="118">
        <f t="shared" si="33"/>
        <v>0</v>
      </c>
      <c r="AH197" s="217"/>
      <c r="AI197" s="220"/>
      <c r="AJ197" s="220"/>
      <c r="AK197" s="150">
        <f t="shared" si="91"/>
        <v>1</v>
      </c>
      <c r="AL197" s="119">
        <f t="shared" si="91"/>
        <v>1287413.8499999999</v>
      </c>
      <c r="AM197" s="120">
        <f t="shared" si="73"/>
        <v>1</v>
      </c>
      <c r="AN197" s="120">
        <v>1</v>
      </c>
      <c r="AO197" s="164">
        <f t="shared" si="74"/>
        <v>0</v>
      </c>
      <c r="AP197" s="150">
        <v>1</v>
      </c>
      <c r="AQ197" s="119">
        <f t="shared" si="75"/>
        <v>1287413.8499999999</v>
      </c>
      <c r="AR197" s="150">
        <f t="shared" si="72"/>
        <v>0</v>
      </c>
      <c r="AS197" s="165">
        <f t="shared" si="76"/>
        <v>0</v>
      </c>
      <c r="AT197" s="181"/>
      <c r="AU197" s="167">
        <f t="shared" si="78"/>
        <v>0</v>
      </c>
      <c r="AV197" s="121"/>
      <c r="AW197" s="121"/>
      <c r="AX197" s="121"/>
      <c r="AY197" s="121"/>
      <c r="AZ197" s="121"/>
      <c r="BA197" s="121"/>
      <c r="BB197" s="121"/>
      <c r="BC197" s="121"/>
      <c r="BD197" s="121"/>
      <c r="BE197" s="121"/>
      <c r="BF197" s="121"/>
      <c r="BG197" s="121"/>
    </row>
    <row r="198" spans="1:59" s="122" customFormat="1" ht="15" customHeight="1">
      <c r="A198" s="113">
        <v>4</v>
      </c>
      <c r="B198" s="114" t="s">
        <v>140</v>
      </c>
      <c r="C198" s="115"/>
      <c r="D198" s="116">
        <v>0.2</v>
      </c>
      <c r="E198" s="117">
        <f t="shared" si="95"/>
        <v>1716551.8</v>
      </c>
      <c r="F198" s="116"/>
      <c r="G198" s="117">
        <f t="shared" si="16"/>
        <v>0</v>
      </c>
      <c r="H198" s="116">
        <v>1</v>
      </c>
      <c r="I198" s="117">
        <f t="shared" si="96"/>
        <v>1716551.8</v>
      </c>
      <c r="J198" s="116"/>
      <c r="K198" s="117">
        <f t="shared" si="92"/>
        <v>0</v>
      </c>
      <c r="L198" s="116"/>
      <c r="M198" s="117">
        <f t="shared" si="32"/>
        <v>0</v>
      </c>
      <c r="N198" s="116"/>
      <c r="O198" s="117">
        <f t="shared" si="93"/>
        <v>0</v>
      </c>
      <c r="P198" s="116"/>
      <c r="Q198" s="117">
        <f t="shared" si="20"/>
        <v>0</v>
      </c>
      <c r="R198" s="116"/>
      <c r="S198" s="117">
        <f t="shared" si="94"/>
        <v>0</v>
      </c>
      <c r="T198" s="116"/>
      <c r="U198" s="117">
        <f t="shared" si="27"/>
        <v>0</v>
      </c>
      <c r="V198" s="116"/>
      <c r="W198" s="117">
        <f t="shared" si="22"/>
        <v>0</v>
      </c>
      <c r="X198" s="116"/>
      <c r="Y198" s="117">
        <f t="shared" si="67"/>
        <v>0</v>
      </c>
      <c r="Z198" s="116"/>
      <c r="AA198" s="117">
        <f t="shared" si="23"/>
        <v>0</v>
      </c>
      <c r="AB198" s="116"/>
      <c r="AC198" s="117">
        <f t="shared" si="29"/>
        <v>0</v>
      </c>
      <c r="AD198" s="116"/>
      <c r="AE198" s="117">
        <f t="shared" si="24"/>
        <v>0</v>
      </c>
      <c r="AF198" s="116"/>
      <c r="AG198" s="118">
        <f t="shared" si="33"/>
        <v>0</v>
      </c>
      <c r="AH198" s="217"/>
      <c r="AI198" s="220"/>
      <c r="AJ198" s="220"/>
      <c r="AK198" s="150">
        <f t="shared" si="91"/>
        <v>1</v>
      </c>
      <c r="AL198" s="119">
        <f t="shared" si="91"/>
        <v>1716551.8</v>
      </c>
      <c r="AM198" s="120">
        <f t="shared" si="73"/>
        <v>1</v>
      </c>
      <c r="AN198" s="120">
        <v>1</v>
      </c>
      <c r="AO198" s="164">
        <f t="shared" si="74"/>
        <v>0</v>
      </c>
      <c r="AP198" s="150">
        <v>1</v>
      </c>
      <c r="AQ198" s="119">
        <f t="shared" si="75"/>
        <v>1716551.8</v>
      </c>
      <c r="AR198" s="150">
        <f t="shared" si="72"/>
        <v>0</v>
      </c>
      <c r="AS198" s="165">
        <f t="shared" si="76"/>
        <v>0</v>
      </c>
      <c r="AT198" s="181"/>
      <c r="AU198" s="167">
        <f t="shared" si="78"/>
        <v>0</v>
      </c>
      <c r="AV198" s="121"/>
      <c r="AW198" s="121"/>
      <c r="AX198" s="121"/>
      <c r="AY198" s="121"/>
      <c r="AZ198" s="121"/>
      <c r="BA198" s="121"/>
      <c r="BB198" s="121"/>
      <c r="BC198" s="121"/>
      <c r="BD198" s="121"/>
      <c r="BE198" s="121"/>
      <c r="BF198" s="121"/>
      <c r="BG198" s="121"/>
    </row>
    <row r="199" spans="1:59" s="122" customFormat="1" ht="15" customHeight="1">
      <c r="A199" s="113">
        <v>5</v>
      </c>
      <c r="B199" s="114" t="s">
        <v>141</v>
      </c>
      <c r="C199" s="115"/>
      <c r="D199" s="116">
        <v>0.15</v>
      </c>
      <c r="E199" s="117">
        <f t="shared" si="95"/>
        <v>1287413.8499999999</v>
      </c>
      <c r="F199" s="116"/>
      <c r="G199" s="117">
        <f t="shared" si="16"/>
        <v>0</v>
      </c>
      <c r="H199" s="116"/>
      <c r="I199" s="117">
        <f t="shared" si="96"/>
        <v>0</v>
      </c>
      <c r="J199" s="116">
        <v>0.5</v>
      </c>
      <c r="K199" s="117">
        <f t="shared" si="92"/>
        <v>643706.92499999993</v>
      </c>
      <c r="L199" s="116">
        <v>0.5</v>
      </c>
      <c r="M199" s="117">
        <f t="shared" si="32"/>
        <v>643706.92499999993</v>
      </c>
      <c r="N199" s="116">
        <v>0.5</v>
      </c>
      <c r="O199" s="117">
        <f t="shared" si="93"/>
        <v>643706.92499999993</v>
      </c>
      <c r="P199" s="116">
        <v>0.5</v>
      </c>
      <c r="Q199" s="117">
        <f t="shared" si="20"/>
        <v>643706.92499999993</v>
      </c>
      <c r="R199" s="116"/>
      <c r="S199" s="117">
        <f t="shared" si="94"/>
        <v>0</v>
      </c>
      <c r="T199" s="116"/>
      <c r="U199" s="117">
        <f t="shared" si="27"/>
        <v>0</v>
      </c>
      <c r="V199" s="116"/>
      <c r="W199" s="117">
        <f t="shared" si="22"/>
        <v>0</v>
      </c>
      <c r="X199" s="116"/>
      <c r="Y199" s="117">
        <f t="shared" si="67"/>
        <v>0</v>
      </c>
      <c r="Z199" s="116"/>
      <c r="AA199" s="117">
        <f t="shared" si="23"/>
        <v>0</v>
      </c>
      <c r="AB199" s="116"/>
      <c r="AC199" s="117">
        <f t="shared" si="29"/>
        <v>0</v>
      </c>
      <c r="AD199" s="116"/>
      <c r="AE199" s="117">
        <f t="shared" si="24"/>
        <v>0</v>
      </c>
      <c r="AF199" s="116"/>
      <c r="AG199" s="118">
        <f t="shared" si="33"/>
        <v>0</v>
      </c>
      <c r="AH199" s="217"/>
      <c r="AI199" s="220"/>
      <c r="AJ199" s="220"/>
      <c r="AK199" s="150">
        <f t="shared" si="91"/>
        <v>1</v>
      </c>
      <c r="AL199" s="119">
        <f t="shared" si="91"/>
        <v>1287413.8499999999</v>
      </c>
      <c r="AM199" s="120">
        <f t="shared" si="73"/>
        <v>1</v>
      </c>
      <c r="AN199" s="120">
        <v>1</v>
      </c>
      <c r="AO199" s="164">
        <f t="shared" si="74"/>
        <v>0</v>
      </c>
      <c r="AP199" s="150">
        <v>1</v>
      </c>
      <c r="AQ199" s="119">
        <f t="shared" si="75"/>
        <v>1287413.8499999999</v>
      </c>
      <c r="AR199" s="150">
        <f t="shared" si="72"/>
        <v>0</v>
      </c>
      <c r="AS199" s="165">
        <f t="shared" si="76"/>
        <v>0</v>
      </c>
      <c r="AT199" s="181"/>
      <c r="AU199" s="167">
        <f t="shared" si="78"/>
        <v>0</v>
      </c>
      <c r="AV199" s="121"/>
      <c r="AW199" s="121"/>
      <c r="AX199" s="121"/>
      <c r="AY199" s="121"/>
      <c r="AZ199" s="121"/>
      <c r="BA199" s="121"/>
      <c r="BB199" s="121"/>
      <c r="BC199" s="121"/>
      <c r="BD199" s="121"/>
      <c r="BE199" s="121"/>
      <c r="BF199" s="121"/>
      <c r="BG199" s="121"/>
    </row>
    <row r="200" spans="1:59" s="122" customFormat="1" ht="15" customHeight="1">
      <c r="A200" s="113">
        <v>6</v>
      </c>
      <c r="B200" s="114" t="s">
        <v>142</v>
      </c>
      <c r="C200" s="115"/>
      <c r="D200" s="116">
        <v>0.15</v>
      </c>
      <c r="E200" s="117">
        <f t="shared" si="95"/>
        <v>1287413.8499999999</v>
      </c>
      <c r="F200" s="116"/>
      <c r="G200" s="117">
        <f t="shared" si="16"/>
        <v>0</v>
      </c>
      <c r="H200" s="116"/>
      <c r="I200" s="117">
        <f t="shared" si="96"/>
        <v>0</v>
      </c>
      <c r="J200" s="116"/>
      <c r="K200" s="117">
        <f t="shared" si="92"/>
        <v>0</v>
      </c>
      <c r="L200" s="116"/>
      <c r="M200" s="117">
        <f t="shared" si="32"/>
        <v>0</v>
      </c>
      <c r="N200" s="116">
        <v>1</v>
      </c>
      <c r="O200" s="117">
        <f t="shared" si="93"/>
        <v>1287413.8499999999</v>
      </c>
      <c r="P200" s="116">
        <v>1</v>
      </c>
      <c r="Q200" s="117">
        <f t="shared" si="20"/>
        <v>1287413.8499999999</v>
      </c>
      <c r="R200" s="116"/>
      <c r="S200" s="117">
        <f t="shared" si="94"/>
        <v>0</v>
      </c>
      <c r="T200" s="116"/>
      <c r="U200" s="117">
        <f t="shared" si="27"/>
        <v>0</v>
      </c>
      <c r="V200" s="116"/>
      <c r="W200" s="117">
        <f t="shared" si="22"/>
        <v>0</v>
      </c>
      <c r="X200" s="116"/>
      <c r="Y200" s="117">
        <f t="shared" si="67"/>
        <v>0</v>
      </c>
      <c r="Z200" s="116"/>
      <c r="AA200" s="117">
        <f t="shared" si="23"/>
        <v>0</v>
      </c>
      <c r="AB200" s="116"/>
      <c r="AC200" s="117">
        <f t="shared" si="29"/>
        <v>0</v>
      </c>
      <c r="AD200" s="116"/>
      <c r="AE200" s="117">
        <f t="shared" si="24"/>
        <v>0</v>
      </c>
      <c r="AF200" s="116"/>
      <c r="AG200" s="118">
        <f t="shared" si="33"/>
        <v>0</v>
      </c>
      <c r="AH200" s="217"/>
      <c r="AI200" s="220"/>
      <c r="AJ200" s="220"/>
      <c r="AK200" s="150">
        <f t="shared" ref="AK200:AL215" si="97">F200+H200+L200+P200+T200+X200+AB200+AF200</f>
        <v>1</v>
      </c>
      <c r="AL200" s="119">
        <f t="shared" si="97"/>
        <v>1287413.8499999999</v>
      </c>
      <c r="AM200" s="120">
        <f t="shared" si="73"/>
        <v>1</v>
      </c>
      <c r="AN200" s="120">
        <v>0.95</v>
      </c>
      <c r="AO200" s="164">
        <f t="shared" si="74"/>
        <v>5.0000000000000044E-2</v>
      </c>
      <c r="AP200" s="150">
        <v>0.8</v>
      </c>
      <c r="AQ200" s="119">
        <f t="shared" si="75"/>
        <v>1029931.08</v>
      </c>
      <c r="AR200" s="150">
        <f t="shared" ref="AR200:AR263" si="98">AK200-AP200</f>
        <v>0.19999999999999996</v>
      </c>
      <c r="AS200" s="165">
        <f t="shared" si="76"/>
        <v>257482.7699999999</v>
      </c>
      <c r="AT200" s="181">
        <f t="shared" ref="AT200:AT201" si="99">100%-AK200</f>
        <v>0</v>
      </c>
      <c r="AU200" s="167">
        <f t="shared" si="78"/>
        <v>0</v>
      </c>
      <c r="AV200" s="121"/>
      <c r="AW200" s="121"/>
      <c r="AX200" s="121"/>
      <c r="AY200" s="121"/>
      <c r="AZ200" s="121"/>
      <c r="BA200" s="121"/>
      <c r="BB200" s="121"/>
      <c r="BC200" s="121"/>
      <c r="BD200" s="121"/>
      <c r="BE200" s="121"/>
      <c r="BF200" s="121"/>
      <c r="BG200" s="121"/>
    </row>
    <row r="201" spans="1:59" s="122" customFormat="1" ht="15" customHeight="1">
      <c r="A201" s="113">
        <v>7</v>
      </c>
      <c r="B201" s="114" t="s">
        <v>143</v>
      </c>
      <c r="C201" s="115"/>
      <c r="D201" s="116">
        <v>0.1</v>
      </c>
      <c r="E201" s="117">
        <f t="shared" si="95"/>
        <v>858275.9</v>
      </c>
      <c r="F201" s="116"/>
      <c r="G201" s="117">
        <f t="shared" si="16"/>
        <v>0</v>
      </c>
      <c r="H201" s="116"/>
      <c r="I201" s="117">
        <f t="shared" si="96"/>
        <v>0</v>
      </c>
      <c r="J201" s="116"/>
      <c r="K201" s="117">
        <f t="shared" si="92"/>
        <v>0</v>
      </c>
      <c r="L201" s="116"/>
      <c r="M201" s="117">
        <f t="shared" si="32"/>
        <v>0</v>
      </c>
      <c r="N201" s="116">
        <v>1</v>
      </c>
      <c r="O201" s="117">
        <f t="shared" si="93"/>
        <v>858275.9</v>
      </c>
      <c r="P201" s="116"/>
      <c r="Q201" s="117">
        <f t="shared" si="20"/>
        <v>0</v>
      </c>
      <c r="R201" s="116"/>
      <c r="S201" s="117">
        <f t="shared" si="94"/>
        <v>0</v>
      </c>
      <c r="T201" s="116"/>
      <c r="U201" s="117">
        <f t="shared" si="27"/>
        <v>0</v>
      </c>
      <c r="V201" s="116"/>
      <c r="W201" s="117">
        <f t="shared" si="22"/>
        <v>0</v>
      </c>
      <c r="X201" s="116"/>
      <c r="Y201" s="117">
        <f t="shared" si="67"/>
        <v>0</v>
      </c>
      <c r="Z201" s="116"/>
      <c r="AA201" s="117">
        <f t="shared" si="23"/>
        <v>0</v>
      </c>
      <c r="AB201" s="116"/>
      <c r="AC201" s="117">
        <f t="shared" si="29"/>
        <v>0</v>
      </c>
      <c r="AD201" s="116"/>
      <c r="AE201" s="117">
        <f t="shared" si="24"/>
        <v>0</v>
      </c>
      <c r="AF201" s="116"/>
      <c r="AG201" s="118">
        <f t="shared" si="33"/>
        <v>0</v>
      </c>
      <c r="AH201" s="217"/>
      <c r="AI201" s="220"/>
      <c r="AJ201" s="220"/>
      <c r="AK201" s="150">
        <f t="shared" si="97"/>
        <v>0</v>
      </c>
      <c r="AL201" s="119">
        <f t="shared" si="97"/>
        <v>0</v>
      </c>
      <c r="AM201" s="120">
        <f t="shared" ref="AM201:AM264" si="100">F201+H201+L201+P201+T201+X201+AB201+AF201</f>
        <v>0</v>
      </c>
      <c r="AN201" s="120">
        <v>0</v>
      </c>
      <c r="AO201" s="164">
        <f t="shared" ref="AO201:AO264" si="101">AM201-AN201</f>
        <v>0</v>
      </c>
      <c r="AP201" s="150">
        <v>0</v>
      </c>
      <c r="AQ201" s="119">
        <f t="shared" ref="AQ201:AQ264" si="102">AP201*E201</f>
        <v>0</v>
      </c>
      <c r="AR201" s="150">
        <f t="shared" si="98"/>
        <v>0</v>
      </c>
      <c r="AS201" s="165">
        <f t="shared" ref="AS201:AS264" si="103">AR201*E201</f>
        <v>0</v>
      </c>
      <c r="AT201" s="181">
        <f t="shared" si="99"/>
        <v>1</v>
      </c>
      <c r="AU201" s="167">
        <f t="shared" ref="AU201:AU264" si="104">AT201*E201</f>
        <v>858275.9</v>
      </c>
      <c r="AV201" s="121"/>
      <c r="AW201" s="121"/>
      <c r="AX201" s="121"/>
      <c r="AY201" s="121"/>
      <c r="AZ201" s="121"/>
      <c r="BA201" s="121"/>
      <c r="BB201" s="121"/>
      <c r="BC201" s="121"/>
      <c r="BD201" s="121"/>
      <c r="BE201" s="121"/>
      <c r="BF201" s="121"/>
      <c r="BG201" s="121"/>
    </row>
    <row r="202" spans="1:59" s="122" customFormat="1" ht="15" customHeight="1">
      <c r="A202" s="113">
        <v>8</v>
      </c>
      <c r="B202" s="114" t="s">
        <v>144</v>
      </c>
      <c r="C202" s="115"/>
      <c r="D202" s="116">
        <v>0.08</v>
      </c>
      <c r="E202" s="117">
        <f t="shared" si="95"/>
        <v>686620.72</v>
      </c>
      <c r="F202" s="116"/>
      <c r="G202" s="117">
        <f t="shared" si="16"/>
        <v>0</v>
      </c>
      <c r="H202" s="116"/>
      <c r="I202" s="117"/>
      <c r="J202" s="116"/>
      <c r="K202" s="117">
        <f t="shared" si="92"/>
        <v>0</v>
      </c>
      <c r="L202" s="116"/>
      <c r="M202" s="117">
        <f t="shared" si="32"/>
        <v>0</v>
      </c>
      <c r="N202" s="116"/>
      <c r="O202" s="117">
        <f t="shared" si="93"/>
        <v>0</v>
      </c>
      <c r="P202" s="116"/>
      <c r="Q202" s="117">
        <f t="shared" si="20"/>
        <v>0</v>
      </c>
      <c r="R202" s="116">
        <v>1</v>
      </c>
      <c r="S202" s="117">
        <f t="shared" si="94"/>
        <v>686620.72</v>
      </c>
      <c r="T202" s="116"/>
      <c r="U202" s="117">
        <f t="shared" si="27"/>
        <v>0</v>
      </c>
      <c r="V202" s="116"/>
      <c r="W202" s="117">
        <f t="shared" si="22"/>
        <v>0</v>
      </c>
      <c r="X202" s="116"/>
      <c r="Y202" s="117">
        <f t="shared" si="67"/>
        <v>0</v>
      </c>
      <c r="Z202" s="116"/>
      <c r="AA202" s="117">
        <f t="shared" si="23"/>
        <v>0</v>
      </c>
      <c r="AB202" s="116"/>
      <c r="AC202" s="117">
        <f t="shared" si="29"/>
        <v>0</v>
      </c>
      <c r="AD202" s="116"/>
      <c r="AE202" s="117">
        <f t="shared" si="24"/>
        <v>0</v>
      </c>
      <c r="AF202" s="116"/>
      <c r="AG202" s="118">
        <f t="shared" si="33"/>
        <v>0</v>
      </c>
      <c r="AH202" s="217"/>
      <c r="AI202" s="220"/>
      <c r="AJ202" s="220"/>
      <c r="AK202" s="150">
        <f t="shared" si="97"/>
        <v>0</v>
      </c>
      <c r="AL202" s="119">
        <f t="shared" si="97"/>
        <v>0</v>
      </c>
      <c r="AM202" s="120">
        <f t="shared" si="100"/>
        <v>0</v>
      </c>
      <c r="AN202" s="120">
        <v>0</v>
      </c>
      <c r="AO202" s="164">
        <f t="shared" si="101"/>
        <v>0</v>
      </c>
      <c r="AP202" s="150">
        <v>0</v>
      </c>
      <c r="AQ202" s="119">
        <f t="shared" si="102"/>
        <v>0</v>
      </c>
      <c r="AR202" s="150">
        <f t="shared" si="98"/>
        <v>0</v>
      </c>
      <c r="AS202" s="165">
        <f t="shared" si="103"/>
        <v>0</v>
      </c>
      <c r="AT202" s="181"/>
      <c r="AU202" s="167">
        <f t="shared" si="104"/>
        <v>0</v>
      </c>
      <c r="AV202" s="121"/>
      <c r="AW202" s="121"/>
      <c r="AX202" s="121"/>
      <c r="AY202" s="121"/>
      <c r="AZ202" s="121"/>
      <c r="BA202" s="121"/>
      <c r="BB202" s="121"/>
      <c r="BC202" s="121"/>
      <c r="BD202" s="121"/>
      <c r="BE202" s="121"/>
      <c r="BF202" s="121"/>
      <c r="BG202" s="121"/>
    </row>
    <row r="203" spans="1:59" s="122" customFormat="1" ht="15" customHeight="1">
      <c r="A203" s="113">
        <v>9</v>
      </c>
      <c r="B203" s="114" t="s">
        <v>44</v>
      </c>
      <c r="C203" s="115"/>
      <c r="D203" s="116">
        <v>0.05</v>
      </c>
      <c r="E203" s="117">
        <f t="shared" si="95"/>
        <v>429137.95</v>
      </c>
      <c r="F203" s="116"/>
      <c r="G203" s="117">
        <f t="shared" si="16"/>
        <v>0</v>
      </c>
      <c r="H203" s="116"/>
      <c r="I203" s="117"/>
      <c r="J203" s="116"/>
      <c r="K203" s="117">
        <f t="shared" si="92"/>
        <v>0</v>
      </c>
      <c r="L203" s="116"/>
      <c r="M203" s="117">
        <f t="shared" si="32"/>
        <v>0</v>
      </c>
      <c r="N203" s="116"/>
      <c r="O203" s="117">
        <f t="shared" si="93"/>
        <v>0</v>
      </c>
      <c r="P203" s="116"/>
      <c r="Q203" s="117">
        <f t="shared" si="20"/>
        <v>0</v>
      </c>
      <c r="R203" s="116"/>
      <c r="S203" s="117">
        <f t="shared" si="94"/>
        <v>0</v>
      </c>
      <c r="T203" s="116"/>
      <c r="U203" s="117">
        <f t="shared" si="27"/>
        <v>0</v>
      </c>
      <c r="V203" s="116"/>
      <c r="W203" s="117">
        <f t="shared" si="22"/>
        <v>0</v>
      </c>
      <c r="X203" s="116"/>
      <c r="Y203" s="117">
        <f t="shared" si="67"/>
        <v>0</v>
      </c>
      <c r="Z203" s="116"/>
      <c r="AA203" s="117">
        <f t="shared" si="23"/>
        <v>0</v>
      </c>
      <c r="AB203" s="116"/>
      <c r="AC203" s="117">
        <f t="shared" si="29"/>
        <v>0</v>
      </c>
      <c r="AD203" s="116">
        <v>1</v>
      </c>
      <c r="AE203" s="117">
        <f t="shared" si="24"/>
        <v>429137.95</v>
      </c>
      <c r="AF203" s="116"/>
      <c r="AG203" s="118">
        <f t="shared" si="33"/>
        <v>0</v>
      </c>
      <c r="AH203" s="218"/>
      <c r="AI203" s="221"/>
      <c r="AJ203" s="221"/>
      <c r="AK203" s="150">
        <f t="shared" si="97"/>
        <v>0</v>
      </c>
      <c r="AL203" s="119">
        <f t="shared" si="97"/>
        <v>0</v>
      </c>
      <c r="AM203" s="120">
        <f t="shared" si="100"/>
        <v>0</v>
      </c>
      <c r="AN203" s="120">
        <v>0</v>
      </c>
      <c r="AO203" s="164">
        <f t="shared" si="101"/>
        <v>0</v>
      </c>
      <c r="AP203" s="150">
        <v>0</v>
      </c>
      <c r="AQ203" s="119">
        <f t="shared" si="102"/>
        <v>0</v>
      </c>
      <c r="AR203" s="150">
        <f t="shared" si="98"/>
        <v>0</v>
      </c>
      <c r="AS203" s="165">
        <f t="shared" si="103"/>
        <v>0</v>
      </c>
      <c r="AT203" s="181"/>
      <c r="AU203" s="167">
        <f t="shared" si="104"/>
        <v>0</v>
      </c>
      <c r="AV203" s="121"/>
      <c r="AW203" s="121"/>
      <c r="AX203" s="121"/>
      <c r="AY203" s="121"/>
      <c r="AZ203" s="121"/>
      <c r="BA203" s="121"/>
      <c r="BB203" s="121"/>
      <c r="BC203" s="121"/>
      <c r="BD203" s="121"/>
      <c r="BE203" s="121"/>
      <c r="BF203" s="121"/>
      <c r="BG203" s="121"/>
    </row>
    <row r="204" spans="1:59" ht="15" customHeight="1">
      <c r="A204" s="74" t="s">
        <v>45</v>
      </c>
      <c r="B204" s="75" t="s">
        <v>145</v>
      </c>
      <c r="C204" s="76">
        <v>1000000</v>
      </c>
      <c r="D204" s="77"/>
      <c r="E204" s="78"/>
      <c r="F204" s="79"/>
      <c r="G204" s="80">
        <f t="shared" si="16"/>
        <v>0</v>
      </c>
      <c r="H204" s="79"/>
      <c r="I204" s="80"/>
      <c r="J204" s="80"/>
      <c r="K204" s="80">
        <f t="shared" si="92"/>
        <v>0</v>
      </c>
      <c r="L204" s="79"/>
      <c r="M204" s="80">
        <f t="shared" si="32"/>
        <v>0</v>
      </c>
      <c r="N204" s="80"/>
      <c r="O204" s="80">
        <f t="shared" si="93"/>
        <v>0</v>
      </c>
      <c r="P204" s="79"/>
      <c r="Q204" s="80">
        <f t="shared" si="20"/>
        <v>0</v>
      </c>
      <c r="R204" s="80"/>
      <c r="S204" s="80">
        <f t="shared" si="94"/>
        <v>0</v>
      </c>
      <c r="T204" s="79"/>
      <c r="U204" s="80">
        <f t="shared" si="27"/>
        <v>0</v>
      </c>
      <c r="V204" s="80"/>
      <c r="W204" s="80">
        <f t="shared" si="22"/>
        <v>0</v>
      </c>
      <c r="X204" s="79"/>
      <c r="Y204" s="80">
        <f t="shared" si="67"/>
        <v>0</v>
      </c>
      <c r="Z204" s="80"/>
      <c r="AA204" s="80">
        <f t="shared" si="23"/>
        <v>0</v>
      </c>
      <c r="AB204" s="79"/>
      <c r="AC204" s="80">
        <f t="shared" si="29"/>
        <v>0</v>
      </c>
      <c r="AD204" s="80"/>
      <c r="AE204" s="80">
        <f t="shared" si="24"/>
        <v>0</v>
      </c>
      <c r="AF204" s="79"/>
      <c r="AG204" s="81">
        <f t="shared" si="33"/>
        <v>0</v>
      </c>
      <c r="AH204" s="216">
        <f>SUM(E204:E208)</f>
        <v>1000000</v>
      </c>
      <c r="AI204" s="219">
        <f>SUM(AC205:AC208)+SUM(Y205:Y208)+SUM(AG205:AG208)</f>
        <v>0</v>
      </c>
      <c r="AJ204" s="222">
        <f>AI204/AH204</f>
        <v>0</v>
      </c>
      <c r="AK204" s="17">
        <f t="shared" si="97"/>
        <v>0</v>
      </c>
      <c r="AL204" s="23">
        <f t="shared" si="97"/>
        <v>0</v>
      </c>
      <c r="AM204" s="4">
        <f t="shared" si="100"/>
        <v>0</v>
      </c>
      <c r="AN204" s="4">
        <v>0</v>
      </c>
      <c r="AO204" s="136">
        <f t="shared" si="101"/>
        <v>0</v>
      </c>
      <c r="AP204" s="17">
        <v>0</v>
      </c>
      <c r="AQ204" s="23">
        <f t="shared" si="102"/>
        <v>0</v>
      </c>
      <c r="AR204" s="17">
        <f t="shared" si="98"/>
        <v>0</v>
      </c>
      <c r="AS204" s="141">
        <f t="shared" si="103"/>
        <v>0</v>
      </c>
      <c r="AT204" s="158"/>
      <c r="AU204" s="146">
        <f t="shared" si="104"/>
        <v>0</v>
      </c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</row>
    <row r="205" spans="1:59" s="122" customFormat="1" ht="15" customHeight="1">
      <c r="A205" s="113">
        <v>1</v>
      </c>
      <c r="B205" s="114" t="s">
        <v>143</v>
      </c>
      <c r="C205" s="115"/>
      <c r="D205" s="116">
        <v>0.25</v>
      </c>
      <c r="E205" s="117">
        <f t="shared" ref="E205:E208" si="105">+D205*$C$204</f>
        <v>250000</v>
      </c>
      <c r="F205" s="116"/>
      <c r="G205" s="117">
        <f t="shared" si="16"/>
        <v>0</v>
      </c>
      <c r="H205" s="116"/>
      <c r="I205" s="117"/>
      <c r="J205" s="116"/>
      <c r="K205" s="117">
        <f t="shared" si="92"/>
        <v>0</v>
      </c>
      <c r="L205" s="116"/>
      <c r="M205" s="117">
        <f t="shared" si="32"/>
        <v>0</v>
      </c>
      <c r="N205" s="116"/>
      <c r="O205" s="117">
        <f t="shared" si="93"/>
        <v>0</v>
      </c>
      <c r="P205" s="116"/>
      <c r="Q205" s="117">
        <f t="shared" si="20"/>
        <v>0</v>
      </c>
      <c r="R205" s="116"/>
      <c r="S205" s="117">
        <f t="shared" si="94"/>
        <v>0</v>
      </c>
      <c r="T205" s="116"/>
      <c r="U205" s="117">
        <f t="shared" si="27"/>
        <v>0</v>
      </c>
      <c r="V205" s="116"/>
      <c r="W205" s="117">
        <f t="shared" si="22"/>
        <v>0</v>
      </c>
      <c r="X205" s="116"/>
      <c r="Y205" s="117">
        <f t="shared" si="67"/>
        <v>0</v>
      </c>
      <c r="Z205" s="116">
        <v>1</v>
      </c>
      <c r="AA205" s="117">
        <f t="shared" si="23"/>
        <v>250000</v>
      </c>
      <c r="AB205" s="116"/>
      <c r="AC205" s="117">
        <f t="shared" si="29"/>
        <v>0</v>
      </c>
      <c r="AD205" s="116"/>
      <c r="AE205" s="117">
        <f t="shared" si="24"/>
        <v>0</v>
      </c>
      <c r="AF205" s="116"/>
      <c r="AG205" s="118">
        <f t="shared" si="33"/>
        <v>0</v>
      </c>
      <c r="AH205" s="217"/>
      <c r="AI205" s="220"/>
      <c r="AJ205" s="220"/>
      <c r="AK205" s="150">
        <f t="shared" si="97"/>
        <v>0</v>
      </c>
      <c r="AL205" s="119">
        <f t="shared" si="97"/>
        <v>0</v>
      </c>
      <c r="AM205" s="120">
        <f t="shared" si="100"/>
        <v>0</v>
      </c>
      <c r="AN205" s="120">
        <v>0</v>
      </c>
      <c r="AO205" s="164">
        <f t="shared" si="101"/>
        <v>0</v>
      </c>
      <c r="AP205" s="150">
        <v>0</v>
      </c>
      <c r="AQ205" s="119">
        <f t="shared" si="102"/>
        <v>0</v>
      </c>
      <c r="AR205" s="150">
        <f t="shared" si="98"/>
        <v>0</v>
      </c>
      <c r="AS205" s="165">
        <f t="shared" si="103"/>
        <v>0</v>
      </c>
      <c r="AT205" s="181"/>
      <c r="AU205" s="167">
        <f t="shared" si="104"/>
        <v>0</v>
      </c>
      <c r="AV205" s="121"/>
      <c r="AW205" s="121"/>
      <c r="AX205" s="121"/>
      <c r="AY205" s="121"/>
      <c r="AZ205" s="121"/>
      <c r="BA205" s="121"/>
      <c r="BB205" s="121"/>
      <c r="BC205" s="121"/>
      <c r="BD205" s="121"/>
      <c r="BE205" s="121"/>
      <c r="BF205" s="121"/>
      <c r="BG205" s="121"/>
    </row>
    <row r="206" spans="1:59" s="122" customFormat="1" ht="15" customHeight="1">
      <c r="A206" s="113">
        <v>2</v>
      </c>
      <c r="B206" s="114" t="s">
        <v>146</v>
      </c>
      <c r="C206" s="115"/>
      <c r="D206" s="116">
        <v>0.25</v>
      </c>
      <c r="E206" s="117">
        <f t="shared" si="105"/>
        <v>250000</v>
      </c>
      <c r="F206" s="116"/>
      <c r="G206" s="117">
        <f t="shared" si="16"/>
        <v>0</v>
      </c>
      <c r="H206" s="116"/>
      <c r="I206" s="117"/>
      <c r="J206" s="116"/>
      <c r="K206" s="117">
        <f t="shared" si="92"/>
        <v>0</v>
      </c>
      <c r="L206" s="116"/>
      <c r="M206" s="117">
        <f t="shared" si="32"/>
        <v>0</v>
      </c>
      <c r="N206" s="116"/>
      <c r="O206" s="117">
        <f t="shared" si="93"/>
        <v>0</v>
      </c>
      <c r="P206" s="116"/>
      <c r="Q206" s="117">
        <f t="shared" si="20"/>
        <v>0</v>
      </c>
      <c r="R206" s="116"/>
      <c r="S206" s="117">
        <f t="shared" si="94"/>
        <v>0</v>
      </c>
      <c r="T206" s="116"/>
      <c r="U206" s="117">
        <f t="shared" si="27"/>
        <v>0</v>
      </c>
      <c r="V206" s="116"/>
      <c r="W206" s="117">
        <f t="shared" si="22"/>
        <v>0</v>
      </c>
      <c r="X206" s="116"/>
      <c r="Y206" s="117">
        <f t="shared" si="67"/>
        <v>0</v>
      </c>
      <c r="Z206" s="116">
        <v>1</v>
      </c>
      <c r="AA206" s="117">
        <f t="shared" si="23"/>
        <v>250000</v>
      </c>
      <c r="AB206" s="116"/>
      <c r="AC206" s="117">
        <f t="shared" si="29"/>
        <v>0</v>
      </c>
      <c r="AD206" s="116"/>
      <c r="AE206" s="117">
        <f t="shared" si="24"/>
        <v>0</v>
      </c>
      <c r="AF206" s="116"/>
      <c r="AG206" s="118">
        <f t="shared" si="33"/>
        <v>0</v>
      </c>
      <c r="AH206" s="217"/>
      <c r="AI206" s="220"/>
      <c r="AJ206" s="220"/>
      <c r="AK206" s="150">
        <f t="shared" si="97"/>
        <v>0</v>
      </c>
      <c r="AL206" s="119">
        <f t="shared" si="97"/>
        <v>0</v>
      </c>
      <c r="AM206" s="120">
        <f t="shared" si="100"/>
        <v>0</v>
      </c>
      <c r="AN206" s="120">
        <v>0</v>
      </c>
      <c r="AO206" s="164">
        <f t="shared" si="101"/>
        <v>0</v>
      </c>
      <c r="AP206" s="150">
        <v>0</v>
      </c>
      <c r="AQ206" s="119">
        <f t="shared" si="102"/>
        <v>0</v>
      </c>
      <c r="AR206" s="150">
        <f t="shared" si="98"/>
        <v>0</v>
      </c>
      <c r="AS206" s="165">
        <f t="shared" si="103"/>
        <v>0</v>
      </c>
      <c r="AT206" s="181"/>
      <c r="AU206" s="167">
        <f t="shared" si="104"/>
        <v>0</v>
      </c>
      <c r="AV206" s="121"/>
      <c r="AW206" s="121"/>
      <c r="AX206" s="121"/>
      <c r="AY206" s="121"/>
      <c r="AZ206" s="121"/>
      <c r="BA206" s="121"/>
      <c r="BB206" s="121"/>
      <c r="BC206" s="121"/>
      <c r="BD206" s="121"/>
      <c r="BE206" s="121"/>
      <c r="BF206" s="121"/>
      <c r="BG206" s="121"/>
    </row>
    <row r="207" spans="1:59" s="122" customFormat="1" ht="15" customHeight="1">
      <c r="A207" s="113">
        <v>3</v>
      </c>
      <c r="B207" s="114" t="s">
        <v>130</v>
      </c>
      <c r="C207" s="115"/>
      <c r="D207" s="116">
        <v>0.25</v>
      </c>
      <c r="E207" s="117">
        <f t="shared" si="105"/>
        <v>250000</v>
      </c>
      <c r="F207" s="116"/>
      <c r="G207" s="117">
        <f t="shared" si="16"/>
        <v>0</v>
      </c>
      <c r="H207" s="116"/>
      <c r="I207" s="117"/>
      <c r="J207" s="116"/>
      <c r="K207" s="117">
        <f t="shared" si="92"/>
        <v>0</v>
      </c>
      <c r="L207" s="116"/>
      <c r="M207" s="117">
        <f t="shared" si="32"/>
        <v>0</v>
      </c>
      <c r="N207" s="116"/>
      <c r="O207" s="117">
        <f t="shared" si="93"/>
        <v>0</v>
      </c>
      <c r="P207" s="116"/>
      <c r="Q207" s="117">
        <f t="shared" si="20"/>
        <v>0</v>
      </c>
      <c r="R207" s="116"/>
      <c r="S207" s="117">
        <f t="shared" si="94"/>
        <v>0</v>
      </c>
      <c r="T207" s="116"/>
      <c r="U207" s="117">
        <f t="shared" si="27"/>
        <v>0</v>
      </c>
      <c r="V207" s="116"/>
      <c r="W207" s="117">
        <f t="shared" si="22"/>
        <v>0</v>
      </c>
      <c r="X207" s="116"/>
      <c r="Y207" s="117">
        <f t="shared" si="67"/>
        <v>0</v>
      </c>
      <c r="Z207" s="116"/>
      <c r="AA207" s="117">
        <f t="shared" si="23"/>
        <v>0</v>
      </c>
      <c r="AB207" s="116"/>
      <c r="AC207" s="117">
        <f t="shared" si="29"/>
        <v>0</v>
      </c>
      <c r="AD207" s="116">
        <v>1</v>
      </c>
      <c r="AE207" s="117">
        <f t="shared" si="24"/>
        <v>250000</v>
      </c>
      <c r="AF207" s="116"/>
      <c r="AG207" s="118">
        <f t="shared" si="33"/>
        <v>0</v>
      </c>
      <c r="AH207" s="217"/>
      <c r="AI207" s="220"/>
      <c r="AJ207" s="220"/>
      <c r="AK207" s="150">
        <f t="shared" si="97"/>
        <v>0</v>
      </c>
      <c r="AL207" s="119">
        <f t="shared" si="97"/>
        <v>0</v>
      </c>
      <c r="AM207" s="120">
        <f t="shared" si="100"/>
        <v>0</v>
      </c>
      <c r="AN207" s="120">
        <v>0</v>
      </c>
      <c r="AO207" s="164">
        <f t="shared" si="101"/>
        <v>0</v>
      </c>
      <c r="AP207" s="150">
        <v>0</v>
      </c>
      <c r="AQ207" s="119">
        <f t="shared" si="102"/>
        <v>0</v>
      </c>
      <c r="AR207" s="150">
        <f t="shared" si="98"/>
        <v>0</v>
      </c>
      <c r="AS207" s="165">
        <f t="shared" si="103"/>
        <v>0</v>
      </c>
      <c r="AT207" s="181"/>
      <c r="AU207" s="167">
        <f t="shared" si="104"/>
        <v>0</v>
      </c>
      <c r="AV207" s="121"/>
      <c r="AW207" s="121"/>
      <c r="AX207" s="121"/>
      <c r="AY207" s="121"/>
      <c r="AZ207" s="121"/>
      <c r="BA207" s="121"/>
      <c r="BB207" s="121"/>
      <c r="BC207" s="121"/>
      <c r="BD207" s="121"/>
      <c r="BE207" s="121"/>
      <c r="BF207" s="121"/>
      <c r="BG207" s="121"/>
    </row>
    <row r="208" spans="1:59" s="122" customFormat="1" ht="15" customHeight="1">
      <c r="A208" s="113">
        <v>4</v>
      </c>
      <c r="B208" s="114" t="s">
        <v>131</v>
      </c>
      <c r="C208" s="115"/>
      <c r="D208" s="116">
        <v>0.25</v>
      </c>
      <c r="E208" s="117">
        <f t="shared" si="105"/>
        <v>250000</v>
      </c>
      <c r="F208" s="116"/>
      <c r="G208" s="117">
        <f t="shared" si="16"/>
        <v>0</v>
      </c>
      <c r="H208" s="116"/>
      <c r="I208" s="117"/>
      <c r="J208" s="116"/>
      <c r="K208" s="117">
        <f t="shared" si="92"/>
        <v>0</v>
      </c>
      <c r="L208" s="116"/>
      <c r="M208" s="117">
        <f t="shared" si="32"/>
        <v>0</v>
      </c>
      <c r="N208" s="116"/>
      <c r="O208" s="117">
        <f t="shared" si="93"/>
        <v>0</v>
      </c>
      <c r="P208" s="116"/>
      <c r="Q208" s="117">
        <f t="shared" si="20"/>
        <v>0</v>
      </c>
      <c r="R208" s="116"/>
      <c r="S208" s="117">
        <f t="shared" si="94"/>
        <v>0</v>
      </c>
      <c r="T208" s="116"/>
      <c r="U208" s="117">
        <f t="shared" si="27"/>
        <v>0</v>
      </c>
      <c r="V208" s="116"/>
      <c r="W208" s="117">
        <f t="shared" si="22"/>
        <v>0</v>
      </c>
      <c r="X208" s="116"/>
      <c r="Y208" s="117">
        <f t="shared" si="67"/>
        <v>0</v>
      </c>
      <c r="Z208" s="116"/>
      <c r="AA208" s="117">
        <f t="shared" si="23"/>
        <v>0</v>
      </c>
      <c r="AB208" s="116"/>
      <c r="AC208" s="117">
        <f t="shared" si="29"/>
        <v>0</v>
      </c>
      <c r="AD208" s="116">
        <v>1</v>
      </c>
      <c r="AE208" s="117">
        <f t="shared" si="24"/>
        <v>250000</v>
      </c>
      <c r="AF208" s="116"/>
      <c r="AG208" s="118">
        <f t="shared" si="33"/>
        <v>0</v>
      </c>
      <c r="AH208" s="218"/>
      <c r="AI208" s="221"/>
      <c r="AJ208" s="221"/>
      <c r="AK208" s="150">
        <f t="shared" si="97"/>
        <v>0</v>
      </c>
      <c r="AL208" s="119">
        <f t="shared" si="97"/>
        <v>0</v>
      </c>
      <c r="AM208" s="120">
        <f t="shared" si="100"/>
        <v>0</v>
      </c>
      <c r="AN208" s="120">
        <v>0</v>
      </c>
      <c r="AO208" s="164">
        <f t="shared" si="101"/>
        <v>0</v>
      </c>
      <c r="AP208" s="150">
        <v>0</v>
      </c>
      <c r="AQ208" s="119">
        <f t="shared" si="102"/>
        <v>0</v>
      </c>
      <c r="AR208" s="150">
        <f t="shared" si="98"/>
        <v>0</v>
      </c>
      <c r="AS208" s="165">
        <f t="shared" si="103"/>
        <v>0</v>
      </c>
      <c r="AT208" s="181"/>
      <c r="AU208" s="167">
        <f t="shared" si="104"/>
        <v>0</v>
      </c>
      <c r="AV208" s="121"/>
      <c r="AW208" s="121"/>
      <c r="AX208" s="121"/>
      <c r="AY208" s="121"/>
      <c r="AZ208" s="121"/>
      <c r="BA208" s="121"/>
      <c r="BB208" s="121"/>
      <c r="BC208" s="121"/>
      <c r="BD208" s="121"/>
      <c r="BE208" s="121"/>
      <c r="BF208" s="121"/>
      <c r="BG208" s="121"/>
    </row>
    <row r="209" spans="1:59" ht="15" customHeight="1">
      <c r="A209" s="74" t="s">
        <v>51</v>
      </c>
      <c r="B209" s="75" t="s">
        <v>147</v>
      </c>
      <c r="C209" s="76">
        <v>2874828</v>
      </c>
      <c r="D209" s="77"/>
      <c r="E209" s="78"/>
      <c r="F209" s="79"/>
      <c r="G209" s="80">
        <f t="shared" si="16"/>
        <v>0</v>
      </c>
      <c r="H209" s="79"/>
      <c r="I209" s="80"/>
      <c r="J209" s="80"/>
      <c r="K209" s="80">
        <f t="shared" si="92"/>
        <v>0</v>
      </c>
      <c r="L209" s="79"/>
      <c r="M209" s="80">
        <f t="shared" si="32"/>
        <v>0</v>
      </c>
      <c r="N209" s="80"/>
      <c r="O209" s="80">
        <f t="shared" si="93"/>
        <v>0</v>
      </c>
      <c r="P209" s="79"/>
      <c r="Q209" s="80">
        <f t="shared" si="20"/>
        <v>0</v>
      </c>
      <c r="R209" s="80"/>
      <c r="S209" s="80">
        <f t="shared" si="94"/>
        <v>0</v>
      </c>
      <c r="T209" s="79"/>
      <c r="U209" s="80">
        <f t="shared" si="27"/>
        <v>0</v>
      </c>
      <c r="V209" s="80"/>
      <c r="W209" s="80">
        <f t="shared" si="22"/>
        <v>0</v>
      </c>
      <c r="X209" s="79"/>
      <c r="Y209" s="80">
        <f t="shared" si="67"/>
        <v>0</v>
      </c>
      <c r="Z209" s="80"/>
      <c r="AA209" s="80">
        <f t="shared" si="23"/>
        <v>0</v>
      </c>
      <c r="AB209" s="79"/>
      <c r="AC209" s="80">
        <f t="shared" si="29"/>
        <v>0</v>
      </c>
      <c r="AD209" s="80"/>
      <c r="AE209" s="80">
        <f t="shared" si="24"/>
        <v>0</v>
      </c>
      <c r="AF209" s="79"/>
      <c r="AG209" s="81">
        <f t="shared" si="33"/>
        <v>0</v>
      </c>
      <c r="AH209" s="216">
        <f>SUM(E210:E219)</f>
        <v>2874828</v>
      </c>
      <c r="AI209" s="219">
        <f>SUM(AG210:AG219)+SUM(Q210:Q219)+SUM(G210:G219)+SUM(M210:M219)+SUM(U210:U219)+SUM(I210:I219)+SUM(Y210:Y219)+SUM(AC210:AC219)</f>
        <v>2069876.16</v>
      </c>
      <c r="AJ209" s="222">
        <f>AI209/AH209</f>
        <v>0.72</v>
      </c>
      <c r="AK209" s="17">
        <f t="shared" si="97"/>
        <v>0</v>
      </c>
      <c r="AL209" s="23">
        <f t="shared" si="97"/>
        <v>0</v>
      </c>
      <c r="AM209" s="4">
        <f t="shared" si="100"/>
        <v>0</v>
      </c>
      <c r="AN209" s="4">
        <v>0</v>
      </c>
      <c r="AO209" s="136">
        <f t="shared" si="101"/>
        <v>0</v>
      </c>
      <c r="AP209" s="17">
        <v>0</v>
      </c>
      <c r="AQ209" s="23">
        <f t="shared" si="102"/>
        <v>0</v>
      </c>
      <c r="AR209" s="17">
        <f t="shared" si="98"/>
        <v>0</v>
      </c>
      <c r="AS209" s="141">
        <f t="shared" si="103"/>
        <v>0</v>
      </c>
      <c r="AT209" s="158"/>
      <c r="AU209" s="146">
        <f t="shared" si="104"/>
        <v>0</v>
      </c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</row>
    <row r="210" spans="1:59" s="122" customFormat="1" ht="15" customHeight="1">
      <c r="A210" s="113">
        <v>1</v>
      </c>
      <c r="B210" s="114" t="s">
        <v>125</v>
      </c>
      <c r="C210" s="115"/>
      <c r="D210" s="116">
        <v>0.02</v>
      </c>
      <c r="E210" s="117">
        <f t="shared" ref="E210:E219" si="106">+D210*$C$209</f>
        <v>57496.56</v>
      </c>
      <c r="F210" s="116">
        <v>1</v>
      </c>
      <c r="G210" s="117">
        <f t="shared" si="16"/>
        <v>57496.56</v>
      </c>
      <c r="H210" s="116"/>
      <c r="I210" s="117"/>
      <c r="J210" s="116"/>
      <c r="K210" s="117">
        <f t="shared" si="92"/>
        <v>0</v>
      </c>
      <c r="L210" s="116"/>
      <c r="M210" s="117">
        <f t="shared" si="32"/>
        <v>0</v>
      </c>
      <c r="N210" s="116"/>
      <c r="O210" s="117">
        <f t="shared" si="93"/>
        <v>0</v>
      </c>
      <c r="P210" s="116"/>
      <c r="Q210" s="117">
        <f t="shared" si="20"/>
        <v>0</v>
      </c>
      <c r="R210" s="116"/>
      <c r="S210" s="117">
        <f t="shared" si="94"/>
        <v>0</v>
      </c>
      <c r="T210" s="116"/>
      <c r="U210" s="117">
        <f t="shared" si="27"/>
        <v>0</v>
      </c>
      <c r="V210" s="116"/>
      <c r="W210" s="117">
        <f t="shared" si="22"/>
        <v>0</v>
      </c>
      <c r="X210" s="116"/>
      <c r="Y210" s="117">
        <f t="shared" si="67"/>
        <v>0</v>
      </c>
      <c r="Z210" s="116"/>
      <c r="AA210" s="117">
        <f t="shared" si="23"/>
        <v>0</v>
      </c>
      <c r="AB210" s="116"/>
      <c r="AC210" s="117">
        <f t="shared" si="29"/>
        <v>0</v>
      </c>
      <c r="AD210" s="116"/>
      <c r="AE210" s="117">
        <f t="shared" si="24"/>
        <v>0</v>
      </c>
      <c r="AF210" s="116"/>
      <c r="AG210" s="118">
        <f t="shared" si="33"/>
        <v>0</v>
      </c>
      <c r="AH210" s="217"/>
      <c r="AI210" s="220"/>
      <c r="AJ210" s="220"/>
      <c r="AK210" s="150">
        <f t="shared" si="97"/>
        <v>1</v>
      </c>
      <c r="AL210" s="119">
        <f t="shared" si="97"/>
        <v>57496.56</v>
      </c>
      <c r="AM210" s="120">
        <f t="shared" si="100"/>
        <v>1</v>
      </c>
      <c r="AN210" s="120">
        <v>1</v>
      </c>
      <c r="AO210" s="164">
        <f t="shared" si="101"/>
        <v>0</v>
      </c>
      <c r="AP210" s="150">
        <v>1</v>
      </c>
      <c r="AQ210" s="119">
        <f t="shared" si="102"/>
        <v>57496.56</v>
      </c>
      <c r="AR210" s="150">
        <f t="shared" si="98"/>
        <v>0</v>
      </c>
      <c r="AS210" s="165">
        <f t="shared" si="103"/>
        <v>0</v>
      </c>
      <c r="AT210" s="181"/>
      <c r="AU210" s="167">
        <f t="shared" si="104"/>
        <v>0</v>
      </c>
      <c r="AV210" s="121"/>
      <c r="AW210" s="121"/>
      <c r="AX210" s="121"/>
      <c r="AY210" s="121"/>
      <c r="AZ210" s="121"/>
      <c r="BA210" s="121"/>
      <c r="BB210" s="121"/>
      <c r="BC210" s="121"/>
      <c r="BD210" s="121"/>
      <c r="BE210" s="121"/>
      <c r="BF210" s="121"/>
      <c r="BG210" s="121"/>
    </row>
    <row r="211" spans="1:59" s="122" customFormat="1" ht="15" customHeight="1">
      <c r="A211" s="113">
        <v>2</v>
      </c>
      <c r="B211" s="114" t="s">
        <v>126</v>
      </c>
      <c r="C211" s="115"/>
      <c r="D211" s="116">
        <v>0.1</v>
      </c>
      <c r="E211" s="117">
        <f t="shared" si="106"/>
        <v>287482.8</v>
      </c>
      <c r="F211" s="116"/>
      <c r="G211" s="117">
        <f t="shared" si="16"/>
        <v>0</v>
      </c>
      <c r="H211" s="116"/>
      <c r="I211" s="117"/>
      <c r="J211" s="116"/>
      <c r="K211" s="117">
        <f t="shared" si="92"/>
        <v>0</v>
      </c>
      <c r="L211" s="116"/>
      <c r="M211" s="117">
        <f t="shared" si="32"/>
        <v>0</v>
      </c>
      <c r="N211" s="116">
        <v>1</v>
      </c>
      <c r="O211" s="117">
        <f t="shared" si="93"/>
        <v>287482.8</v>
      </c>
      <c r="P211" s="116">
        <v>1</v>
      </c>
      <c r="Q211" s="117">
        <f t="shared" si="20"/>
        <v>287482.8</v>
      </c>
      <c r="R211" s="116"/>
      <c r="S211" s="117">
        <f t="shared" si="94"/>
        <v>0</v>
      </c>
      <c r="T211" s="116"/>
      <c r="U211" s="117">
        <f t="shared" si="27"/>
        <v>0</v>
      </c>
      <c r="V211" s="116"/>
      <c r="W211" s="117">
        <f t="shared" si="22"/>
        <v>0</v>
      </c>
      <c r="X211" s="116"/>
      <c r="Y211" s="117">
        <f t="shared" si="67"/>
        <v>0</v>
      </c>
      <c r="Z211" s="116"/>
      <c r="AA211" s="117">
        <f t="shared" si="23"/>
        <v>0</v>
      </c>
      <c r="AB211" s="116"/>
      <c r="AC211" s="117">
        <f t="shared" si="29"/>
        <v>0</v>
      </c>
      <c r="AD211" s="116"/>
      <c r="AE211" s="117">
        <f t="shared" si="24"/>
        <v>0</v>
      </c>
      <c r="AF211" s="116"/>
      <c r="AG211" s="118">
        <f t="shared" si="33"/>
        <v>0</v>
      </c>
      <c r="AH211" s="217"/>
      <c r="AI211" s="220"/>
      <c r="AJ211" s="220"/>
      <c r="AK211" s="150">
        <f t="shared" si="97"/>
        <v>1</v>
      </c>
      <c r="AL211" s="119">
        <f t="shared" si="97"/>
        <v>287482.8</v>
      </c>
      <c r="AM211" s="120">
        <f t="shared" si="100"/>
        <v>1</v>
      </c>
      <c r="AN211" s="120">
        <v>1</v>
      </c>
      <c r="AO211" s="164">
        <f t="shared" si="101"/>
        <v>0</v>
      </c>
      <c r="AP211" s="150">
        <v>1</v>
      </c>
      <c r="AQ211" s="119">
        <f t="shared" si="102"/>
        <v>287482.8</v>
      </c>
      <c r="AR211" s="150">
        <f t="shared" si="98"/>
        <v>0</v>
      </c>
      <c r="AS211" s="165">
        <f t="shared" si="103"/>
        <v>0</v>
      </c>
      <c r="AT211" s="181"/>
      <c r="AU211" s="167">
        <f t="shared" si="104"/>
        <v>0</v>
      </c>
      <c r="AV211" s="121"/>
      <c r="AW211" s="121"/>
      <c r="AX211" s="121"/>
      <c r="AY211" s="121"/>
      <c r="AZ211" s="121"/>
      <c r="BA211" s="121"/>
      <c r="BB211" s="121"/>
      <c r="BC211" s="121"/>
      <c r="BD211" s="121"/>
      <c r="BE211" s="121"/>
      <c r="BF211" s="121"/>
      <c r="BG211" s="121"/>
    </row>
    <row r="212" spans="1:59" s="122" customFormat="1" ht="15" customHeight="1">
      <c r="A212" s="113">
        <v>3</v>
      </c>
      <c r="B212" s="114" t="s">
        <v>127</v>
      </c>
      <c r="C212" s="115"/>
      <c r="D212" s="116">
        <v>0.15</v>
      </c>
      <c r="E212" s="117">
        <f t="shared" si="106"/>
        <v>431224.2</v>
      </c>
      <c r="F212" s="116"/>
      <c r="G212" s="117">
        <f t="shared" si="16"/>
        <v>0</v>
      </c>
      <c r="H212" s="116"/>
      <c r="I212" s="117">
        <f t="shared" ref="I212:I214" si="107">+H212*$E212</f>
        <v>0</v>
      </c>
      <c r="J212" s="116"/>
      <c r="K212" s="117">
        <f t="shared" si="92"/>
        <v>0</v>
      </c>
      <c r="L212" s="116"/>
      <c r="M212" s="117">
        <f t="shared" si="32"/>
        <v>0</v>
      </c>
      <c r="N212" s="116">
        <v>1</v>
      </c>
      <c r="O212" s="117">
        <f t="shared" si="93"/>
        <v>431224.2</v>
      </c>
      <c r="P212" s="116">
        <v>1</v>
      </c>
      <c r="Q212" s="117">
        <f t="shared" si="20"/>
        <v>431224.2</v>
      </c>
      <c r="R212" s="116"/>
      <c r="S212" s="117">
        <f t="shared" si="94"/>
        <v>0</v>
      </c>
      <c r="T212" s="116"/>
      <c r="U212" s="117">
        <f t="shared" si="27"/>
        <v>0</v>
      </c>
      <c r="V212" s="116"/>
      <c r="W212" s="117">
        <f t="shared" si="22"/>
        <v>0</v>
      </c>
      <c r="X212" s="116"/>
      <c r="Y212" s="117">
        <f t="shared" si="67"/>
        <v>0</v>
      </c>
      <c r="Z212" s="116"/>
      <c r="AA212" s="117">
        <f t="shared" si="23"/>
        <v>0</v>
      </c>
      <c r="AB212" s="116"/>
      <c r="AC212" s="117">
        <f t="shared" si="29"/>
        <v>0</v>
      </c>
      <c r="AD212" s="116"/>
      <c r="AE212" s="117">
        <f t="shared" si="24"/>
        <v>0</v>
      </c>
      <c r="AF212" s="116"/>
      <c r="AG212" s="118">
        <f t="shared" si="33"/>
        <v>0</v>
      </c>
      <c r="AH212" s="217"/>
      <c r="AI212" s="220"/>
      <c r="AJ212" s="220"/>
      <c r="AK212" s="150">
        <f t="shared" si="97"/>
        <v>1</v>
      </c>
      <c r="AL212" s="119">
        <f t="shared" si="97"/>
        <v>431224.2</v>
      </c>
      <c r="AM212" s="120">
        <f t="shared" si="100"/>
        <v>1</v>
      </c>
      <c r="AN212" s="120">
        <v>1</v>
      </c>
      <c r="AO212" s="164">
        <f t="shared" si="101"/>
        <v>0</v>
      </c>
      <c r="AP212" s="150">
        <v>1</v>
      </c>
      <c r="AQ212" s="119">
        <f t="shared" si="102"/>
        <v>431224.2</v>
      </c>
      <c r="AR212" s="150">
        <f t="shared" si="98"/>
        <v>0</v>
      </c>
      <c r="AS212" s="165">
        <f t="shared" si="103"/>
        <v>0</v>
      </c>
      <c r="AT212" s="181"/>
      <c r="AU212" s="167">
        <f t="shared" si="104"/>
        <v>0</v>
      </c>
      <c r="AV212" s="121"/>
      <c r="AW212" s="121"/>
      <c r="AX212" s="121"/>
      <c r="AY212" s="121"/>
      <c r="AZ212" s="121"/>
      <c r="BA212" s="121"/>
      <c r="BB212" s="121"/>
      <c r="BC212" s="121"/>
      <c r="BD212" s="121"/>
      <c r="BE212" s="121"/>
      <c r="BF212" s="121"/>
      <c r="BG212" s="121"/>
    </row>
    <row r="213" spans="1:59" s="122" customFormat="1" ht="15" customHeight="1">
      <c r="A213" s="113">
        <v>4</v>
      </c>
      <c r="B213" s="114" t="s">
        <v>140</v>
      </c>
      <c r="C213" s="115"/>
      <c r="D213" s="116">
        <v>0.15</v>
      </c>
      <c r="E213" s="117">
        <f t="shared" si="106"/>
        <v>431224.2</v>
      </c>
      <c r="F213" s="116"/>
      <c r="G213" s="117">
        <f t="shared" si="16"/>
        <v>0</v>
      </c>
      <c r="H213" s="116"/>
      <c r="I213" s="117">
        <f t="shared" si="107"/>
        <v>0</v>
      </c>
      <c r="J213" s="116"/>
      <c r="K213" s="117">
        <f t="shared" si="92"/>
        <v>0</v>
      </c>
      <c r="L213" s="116"/>
      <c r="M213" s="117">
        <f t="shared" si="32"/>
        <v>0</v>
      </c>
      <c r="N213" s="116">
        <v>0.5</v>
      </c>
      <c r="O213" s="117">
        <f t="shared" si="93"/>
        <v>215612.1</v>
      </c>
      <c r="P213" s="116">
        <v>0.5</v>
      </c>
      <c r="Q213" s="117">
        <f t="shared" si="20"/>
        <v>215612.1</v>
      </c>
      <c r="R213" s="116">
        <v>0.5</v>
      </c>
      <c r="S213" s="117">
        <f t="shared" si="94"/>
        <v>215612.1</v>
      </c>
      <c r="T213" s="116">
        <v>0.5</v>
      </c>
      <c r="U213" s="117">
        <f t="shared" si="27"/>
        <v>215612.1</v>
      </c>
      <c r="V213" s="116"/>
      <c r="W213" s="117">
        <f t="shared" si="22"/>
        <v>0</v>
      </c>
      <c r="X213" s="116"/>
      <c r="Y213" s="117">
        <f t="shared" si="67"/>
        <v>0</v>
      </c>
      <c r="Z213" s="116"/>
      <c r="AA213" s="117">
        <f t="shared" si="23"/>
        <v>0</v>
      </c>
      <c r="AB213" s="116"/>
      <c r="AC213" s="117">
        <f t="shared" si="29"/>
        <v>0</v>
      </c>
      <c r="AD213" s="116"/>
      <c r="AE213" s="117">
        <f t="shared" si="24"/>
        <v>0</v>
      </c>
      <c r="AF213" s="116"/>
      <c r="AG213" s="118">
        <f t="shared" si="33"/>
        <v>0</v>
      </c>
      <c r="AH213" s="217"/>
      <c r="AI213" s="220"/>
      <c r="AJ213" s="220"/>
      <c r="AK213" s="150">
        <f t="shared" si="97"/>
        <v>1</v>
      </c>
      <c r="AL213" s="119">
        <f t="shared" si="97"/>
        <v>431224.2</v>
      </c>
      <c r="AM213" s="120">
        <f t="shared" si="100"/>
        <v>1</v>
      </c>
      <c r="AN213" s="120">
        <v>1</v>
      </c>
      <c r="AO213" s="164">
        <f t="shared" si="101"/>
        <v>0</v>
      </c>
      <c r="AP213" s="150">
        <v>1</v>
      </c>
      <c r="AQ213" s="119">
        <f t="shared" si="102"/>
        <v>431224.2</v>
      </c>
      <c r="AR213" s="150">
        <f t="shared" si="98"/>
        <v>0</v>
      </c>
      <c r="AS213" s="165">
        <f t="shared" si="103"/>
        <v>0</v>
      </c>
      <c r="AT213" s="181"/>
      <c r="AU213" s="167">
        <f t="shared" si="104"/>
        <v>0</v>
      </c>
      <c r="AV213" s="121"/>
      <c r="AW213" s="121"/>
      <c r="AX213" s="121"/>
      <c r="AY213" s="121"/>
      <c r="AZ213" s="121"/>
      <c r="BA213" s="121"/>
      <c r="BB213" s="121"/>
      <c r="BC213" s="121"/>
      <c r="BD213" s="121"/>
      <c r="BE213" s="121"/>
      <c r="BF213" s="121"/>
      <c r="BG213" s="121"/>
    </row>
    <row r="214" spans="1:59" s="122" customFormat="1" ht="15" customHeight="1">
      <c r="A214" s="113">
        <v>5</v>
      </c>
      <c r="B214" s="114" t="s">
        <v>141</v>
      </c>
      <c r="C214" s="115"/>
      <c r="D214" s="116">
        <v>0.15</v>
      </c>
      <c r="E214" s="117">
        <f t="shared" si="106"/>
        <v>431224.2</v>
      </c>
      <c r="F214" s="116"/>
      <c r="G214" s="117">
        <f t="shared" si="16"/>
        <v>0</v>
      </c>
      <c r="H214" s="116"/>
      <c r="I214" s="117">
        <f t="shared" si="107"/>
        <v>0</v>
      </c>
      <c r="J214" s="116"/>
      <c r="K214" s="117">
        <f t="shared" si="92"/>
        <v>0</v>
      </c>
      <c r="L214" s="116"/>
      <c r="M214" s="117">
        <f t="shared" si="32"/>
        <v>0</v>
      </c>
      <c r="N214" s="116"/>
      <c r="O214" s="117">
        <f t="shared" si="93"/>
        <v>0</v>
      </c>
      <c r="P214" s="116"/>
      <c r="Q214" s="117">
        <f t="shared" si="20"/>
        <v>0</v>
      </c>
      <c r="R214" s="116">
        <v>1</v>
      </c>
      <c r="S214" s="117">
        <f t="shared" si="94"/>
        <v>431224.2</v>
      </c>
      <c r="T214" s="116">
        <v>1</v>
      </c>
      <c r="U214" s="117">
        <f t="shared" si="27"/>
        <v>431224.2</v>
      </c>
      <c r="V214" s="116"/>
      <c r="W214" s="117">
        <f t="shared" si="22"/>
        <v>0</v>
      </c>
      <c r="X214" s="116"/>
      <c r="Y214" s="117">
        <f t="shared" si="67"/>
        <v>0</v>
      </c>
      <c r="Z214" s="116"/>
      <c r="AA214" s="117">
        <f t="shared" si="23"/>
        <v>0</v>
      </c>
      <c r="AB214" s="116"/>
      <c r="AC214" s="117">
        <f t="shared" si="29"/>
        <v>0</v>
      </c>
      <c r="AD214" s="116"/>
      <c r="AE214" s="117">
        <f t="shared" si="24"/>
        <v>0</v>
      </c>
      <c r="AF214" s="116"/>
      <c r="AG214" s="118">
        <f t="shared" si="33"/>
        <v>0</v>
      </c>
      <c r="AH214" s="217"/>
      <c r="AI214" s="220"/>
      <c r="AJ214" s="220"/>
      <c r="AK214" s="150">
        <f t="shared" si="97"/>
        <v>1</v>
      </c>
      <c r="AL214" s="119">
        <f t="shared" si="97"/>
        <v>431224.2</v>
      </c>
      <c r="AM214" s="120">
        <f t="shared" si="100"/>
        <v>1</v>
      </c>
      <c r="AN214" s="120">
        <v>1</v>
      </c>
      <c r="AO214" s="164">
        <f t="shared" si="101"/>
        <v>0</v>
      </c>
      <c r="AP214" s="150">
        <v>1</v>
      </c>
      <c r="AQ214" s="119">
        <f t="shared" si="102"/>
        <v>431224.2</v>
      </c>
      <c r="AR214" s="150">
        <f t="shared" si="98"/>
        <v>0</v>
      </c>
      <c r="AS214" s="165">
        <f t="shared" si="103"/>
        <v>0</v>
      </c>
      <c r="AT214" s="181"/>
      <c r="AU214" s="167">
        <f t="shared" si="104"/>
        <v>0</v>
      </c>
      <c r="AV214" s="121"/>
      <c r="AW214" s="121"/>
      <c r="AX214" s="121"/>
      <c r="AY214" s="121"/>
      <c r="AZ214" s="121"/>
      <c r="BA214" s="121"/>
      <c r="BB214" s="121"/>
      <c r="BC214" s="121"/>
      <c r="BD214" s="121"/>
      <c r="BE214" s="121"/>
      <c r="BF214" s="121"/>
      <c r="BG214" s="121"/>
    </row>
    <row r="215" spans="1:59" s="122" customFormat="1" ht="15" customHeight="1">
      <c r="A215" s="113">
        <v>6</v>
      </c>
      <c r="B215" s="114" t="s">
        <v>142</v>
      </c>
      <c r="C215" s="115"/>
      <c r="D215" s="116">
        <v>0.15</v>
      </c>
      <c r="E215" s="117">
        <f t="shared" si="106"/>
        <v>431224.2</v>
      </c>
      <c r="F215" s="116"/>
      <c r="G215" s="117">
        <f t="shared" si="16"/>
        <v>0</v>
      </c>
      <c r="H215" s="116"/>
      <c r="I215" s="117"/>
      <c r="J215" s="116"/>
      <c r="K215" s="117">
        <f t="shared" si="92"/>
        <v>0</v>
      </c>
      <c r="L215" s="116"/>
      <c r="M215" s="117">
        <f t="shared" si="32"/>
        <v>0</v>
      </c>
      <c r="N215" s="116"/>
      <c r="O215" s="117">
        <f t="shared" si="93"/>
        <v>0</v>
      </c>
      <c r="P215" s="116"/>
      <c r="Q215" s="117">
        <f t="shared" si="20"/>
        <v>0</v>
      </c>
      <c r="R215" s="116"/>
      <c r="S215" s="117">
        <f t="shared" si="94"/>
        <v>0</v>
      </c>
      <c r="T215" s="116"/>
      <c r="U215" s="117">
        <f t="shared" si="27"/>
        <v>0</v>
      </c>
      <c r="V215" s="116">
        <v>1</v>
      </c>
      <c r="W215" s="117">
        <f t="shared" si="22"/>
        <v>431224.2</v>
      </c>
      <c r="X215" s="116">
        <v>1</v>
      </c>
      <c r="Y215" s="117">
        <f t="shared" si="67"/>
        <v>431224.2</v>
      </c>
      <c r="Z215" s="116"/>
      <c r="AA215" s="117">
        <f t="shared" si="23"/>
        <v>0</v>
      </c>
      <c r="AB215" s="116"/>
      <c r="AC215" s="117">
        <f t="shared" si="29"/>
        <v>0</v>
      </c>
      <c r="AD215" s="116"/>
      <c r="AE215" s="117">
        <f t="shared" si="24"/>
        <v>0</v>
      </c>
      <c r="AF215" s="116"/>
      <c r="AG215" s="118">
        <f t="shared" si="33"/>
        <v>0</v>
      </c>
      <c r="AH215" s="217"/>
      <c r="AI215" s="220"/>
      <c r="AJ215" s="220"/>
      <c r="AK215" s="150">
        <f t="shared" si="97"/>
        <v>1</v>
      </c>
      <c r="AL215" s="119">
        <f t="shared" si="97"/>
        <v>431224.2</v>
      </c>
      <c r="AM215" s="120">
        <f t="shared" si="100"/>
        <v>1</v>
      </c>
      <c r="AN215" s="120">
        <v>0.8</v>
      </c>
      <c r="AO215" s="164">
        <f t="shared" si="101"/>
        <v>0.19999999999999996</v>
      </c>
      <c r="AP215" s="150">
        <v>0</v>
      </c>
      <c r="AQ215" s="119">
        <f t="shared" si="102"/>
        <v>0</v>
      </c>
      <c r="AR215" s="150">
        <f t="shared" si="98"/>
        <v>1</v>
      </c>
      <c r="AS215" s="165">
        <f t="shared" si="103"/>
        <v>431224.2</v>
      </c>
      <c r="AT215" s="181">
        <f t="shared" ref="AT215:AT216" si="108">100%-AK215</f>
        <v>0</v>
      </c>
      <c r="AU215" s="167">
        <f t="shared" si="104"/>
        <v>0</v>
      </c>
      <c r="AV215" s="121"/>
      <c r="AW215" s="121"/>
      <c r="AX215" s="121"/>
      <c r="AY215" s="121"/>
      <c r="AZ215" s="121"/>
      <c r="BA215" s="121"/>
      <c r="BB215" s="121"/>
      <c r="BC215" s="121"/>
      <c r="BD215" s="121"/>
      <c r="BE215" s="121"/>
      <c r="BF215" s="121"/>
      <c r="BG215" s="121"/>
    </row>
    <row r="216" spans="1:59" s="122" customFormat="1" ht="15" customHeight="1">
      <c r="A216" s="113">
        <v>7</v>
      </c>
      <c r="B216" s="114" t="s">
        <v>143</v>
      </c>
      <c r="C216" s="115"/>
      <c r="D216" s="116">
        <v>0.1</v>
      </c>
      <c r="E216" s="117">
        <f t="shared" si="106"/>
        <v>287482.8</v>
      </c>
      <c r="F216" s="116"/>
      <c r="G216" s="117">
        <f t="shared" si="16"/>
        <v>0</v>
      </c>
      <c r="H216" s="116"/>
      <c r="I216" s="117"/>
      <c r="J216" s="116"/>
      <c r="K216" s="117">
        <f t="shared" si="92"/>
        <v>0</v>
      </c>
      <c r="L216" s="116"/>
      <c r="M216" s="117">
        <f t="shared" si="32"/>
        <v>0</v>
      </c>
      <c r="N216" s="116"/>
      <c r="O216" s="117">
        <f t="shared" si="93"/>
        <v>0</v>
      </c>
      <c r="P216" s="116"/>
      <c r="Q216" s="117">
        <f t="shared" si="20"/>
        <v>0</v>
      </c>
      <c r="R216" s="116"/>
      <c r="S216" s="117">
        <f t="shared" si="94"/>
        <v>0</v>
      </c>
      <c r="T216" s="116"/>
      <c r="U216" s="117">
        <f t="shared" si="27"/>
        <v>0</v>
      </c>
      <c r="V216" s="116">
        <v>1</v>
      </c>
      <c r="W216" s="117">
        <f t="shared" si="22"/>
        <v>287482.8</v>
      </c>
      <c r="X216" s="116"/>
      <c r="Y216" s="117">
        <f t="shared" si="67"/>
        <v>0</v>
      </c>
      <c r="Z216" s="116"/>
      <c r="AA216" s="117">
        <f t="shared" si="23"/>
        <v>0</v>
      </c>
      <c r="AB216" s="116"/>
      <c r="AC216" s="117">
        <f t="shared" si="29"/>
        <v>0</v>
      </c>
      <c r="AD216" s="116"/>
      <c r="AE216" s="117">
        <f t="shared" si="24"/>
        <v>0</v>
      </c>
      <c r="AF216" s="116"/>
      <c r="AG216" s="118">
        <f t="shared" si="33"/>
        <v>0</v>
      </c>
      <c r="AH216" s="217"/>
      <c r="AI216" s="220"/>
      <c r="AJ216" s="220"/>
      <c r="AK216" s="150">
        <f t="shared" ref="AK216:AL231" si="109">F216+H216+L216+P216+T216+X216+AB216+AF216</f>
        <v>0</v>
      </c>
      <c r="AL216" s="119">
        <f t="shared" si="109"/>
        <v>0</v>
      </c>
      <c r="AM216" s="120">
        <f t="shared" si="100"/>
        <v>0</v>
      </c>
      <c r="AN216" s="120">
        <v>0</v>
      </c>
      <c r="AO216" s="164">
        <f t="shared" si="101"/>
        <v>0</v>
      </c>
      <c r="AP216" s="150">
        <v>0</v>
      </c>
      <c r="AQ216" s="119">
        <f t="shared" si="102"/>
        <v>0</v>
      </c>
      <c r="AR216" s="150">
        <f t="shared" si="98"/>
        <v>0</v>
      </c>
      <c r="AS216" s="165">
        <f t="shared" si="103"/>
        <v>0</v>
      </c>
      <c r="AT216" s="181">
        <f t="shared" si="108"/>
        <v>1</v>
      </c>
      <c r="AU216" s="167">
        <f t="shared" si="104"/>
        <v>287482.8</v>
      </c>
      <c r="AV216" s="121"/>
      <c r="AW216" s="121"/>
      <c r="AX216" s="121"/>
      <c r="AY216" s="121"/>
      <c r="AZ216" s="121"/>
      <c r="BA216" s="121"/>
      <c r="BB216" s="121"/>
      <c r="BC216" s="121"/>
      <c r="BD216" s="121"/>
      <c r="BE216" s="121"/>
      <c r="BF216" s="121"/>
      <c r="BG216" s="121"/>
    </row>
    <row r="217" spans="1:59" s="122" customFormat="1" ht="15" customHeight="1">
      <c r="A217" s="113">
        <v>8</v>
      </c>
      <c r="B217" s="114" t="s">
        <v>144</v>
      </c>
      <c r="C217" s="115"/>
      <c r="D217" s="116">
        <v>0.08</v>
      </c>
      <c r="E217" s="117">
        <f t="shared" si="106"/>
        <v>229986.24</v>
      </c>
      <c r="F217" s="116"/>
      <c r="G217" s="117">
        <f t="shared" si="16"/>
        <v>0</v>
      </c>
      <c r="H217" s="116"/>
      <c r="I217" s="117">
        <f>+H217*$E217</f>
        <v>0</v>
      </c>
      <c r="J217" s="116"/>
      <c r="K217" s="117">
        <f t="shared" si="92"/>
        <v>0</v>
      </c>
      <c r="L217" s="116"/>
      <c r="M217" s="117">
        <f t="shared" si="32"/>
        <v>0</v>
      </c>
      <c r="N217" s="116"/>
      <c r="O217" s="117">
        <f t="shared" si="93"/>
        <v>0</v>
      </c>
      <c r="P217" s="116"/>
      <c r="Q217" s="117">
        <f t="shared" si="20"/>
        <v>0</v>
      </c>
      <c r="R217" s="116"/>
      <c r="S217" s="117">
        <f t="shared" si="94"/>
        <v>0</v>
      </c>
      <c r="T217" s="116"/>
      <c r="U217" s="117">
        <f t="shared" si="27"/>
        <v>0</v>
      </c>
      <c r="V217" s="116"/>
      <c r="W217" s="117">
        <f t="shared" si="22"/>
        <v>0</v>
      </c>
      <c r="X217" s="116"/>
      <c r="Y217" s="117">
        <f t="shared" si="67"/>
        <v>0</v>
      </c>
      <c r="Z217" s="116">
        <v>1</v>
      </c>
      <c r="AA217" s="117">
        <f t="shared" si="23"/>
        <v>229986.24</v>
      </c>
      <c r="AB217" s="116"/>
      <c r="AC217" s="117">
        <f t="shared" si="29"/>
        <v>0</v>
      </c>
      <c r="AD217" s="116"/>
      <c r="AE217" s="117">
        <f t="shared" si="24"/>
        <v>0</v>
      </c>
      <c r="AF217" s="116"/>
      <c r="AG217" s="118">
        <f t="shared" si="33"/>
        <v>0</v>
      </c>
      <c r="AH217" s="217"/>
      <c r="AI217" s="220"/>
      <c r="AJ217" s="220"/>
      <c r="AK217" s="150">
        <f t="shared" si="109"/>
        <v>0</v>
      </c>
      <c r="AL217" s="119">
        <f t="shared" si="109"/>
        <v>0</v>
      </c>
      <c r="AM217" s="120">
        <f t="shared" si="100"/>
        <v>0</v>
      </c>
      <c r="AN217" s="120">
        <v>0</v>
      </c>
      <c r="AO217" s="164">
        <f t="shared" si="101"/>
        <v>0</v>
      </c>
      <c r="AP217" s="150">
        <v>0</v>
      </c>
      <c r="AQ217" s="119">
        <f t="shared" si="102"/>
        <v>0</v>
      </c>
      <c r="AR217" s="150">
        <f t="shared" si="98"/>
        <v>0</v>
      </c>
      <c r="AS217" s="165">
        <f t="shared" si="103"/>
        <v>0</v>
      </c>
      <c r="AT217" s="181"/>
      <c r="AU217" s="167">
        <f t="shared" si="104"/>
        <v>0</v>
      </c>
      <c r="AV217" s="121"/>
      <c r="AW217" s="121"/>
      <c r="AX217" s="121"/>
      <c r="AY217" s="121"/>
      <c r="AZ217" s="121"/>
      <c r="BA217" s="121"/>
      <c r="BB217" s="121"/>
      <c r="BC217" s="121"/>
      <c r="BD217" s="121"/>
      <c r="BE217" s="121"/>
      <c r="BF217" s="121"/>
      <c r="BG217" s="121"/>
    </row>
    <row r="218" spans="1:59" s="122" customFormat="1" ht="15" customHeight="1">
      <c r="A218" s="113">
        <v>9</v>
      </c>
      <c r="B218" s="114" t="s">
        <v>148</v>
      </c>
      <c r="C218" s="115"/>
      <c r="D218" s="116">
        <v>0.05</v>
      </c>
      <c r="E218" s="117">
        <f t="shared" si="106"/>
        <v>143741.4</v>
      </c>
      <c r="F218" s="116"/>
      <c r="G218" s="117">
        <f t="shared" si="16"/>
        <v>0</v>
      </c>
      <c r="H218" s="116"/>
      <c r="I218" s="117"/>
      <c r="J218" s="116"/>
      <c r="K218" s="117">
        <f t="shared" si="92"/>
        <v>0</v>
      </c>
      <c r="L218" s="116"/>
      <c r="M218" s="117">
        <f t="shared" si="32"/>
        <v>0</v>
      </c>
      <c r="N218" s="116"/>
      <c r="O218" s="117">
        <f t="shared" si="93"/>
        <v>0</v>
      </c>
      <c r="P218" s="116"/>
      <c r="Q218" s="117">
        <f t="shared" si="20"/>
        <v>0</v>
      </c>
      <c r="R218" s="116"/>
      <c r="S218" s="117">
        <f t="shared" si="94"/>
        <v>0</v>
      </c>
      <c r="T218" s="116"/>
      <c r="U218" s="117">
        <f t="shared" si="27"/>
        <v>0</v>
      </c>
      <c r="V218" s="116"/>
      <c r="W218" s="117">
        <f t="shared" si="22"/>
        <v>0</v>
      </c>
      <c r="X218" s="116"/>
      <c r="Y218" s="117">
        <f t="shared" si="67"/>
        <v>0</v>
      </c>
      <c r="Z218" s="116">
        <v>1</v>
      </c>
      <c r="AA218" s="117">
        <f t="shared" si="23"/>
        <v>143741.4</v>
      </c>
      <c r="AB218" s="116"/>
      <c r="AC218" s="117">
        <f t="shared" si="29"/>
        <v>0</v>
      </c>
      <c r="AD218" s="116"/>
      <c r="AE218" s="117">
        <f t="shared" si="24"/>
        <v>0</v>
      </c>
      <c r="AF218" s="116"/>
      <c r="AG218" s="118">
        <f t="shared" si="33"/>
        <v>0</v>
      </c>
      <c r="AH218" s="217"/>
      <c r="AI218" s="220"/>
      <c r="AJ218" s="220"/>
      <c r="AK218" s="150">
        <f t="shared" si="109"/>
        <v>0</v>
      </c>
      <c r="AL218" s="119">
        <f t="shared" si="109"/>
        <v>0</v>
      </c>
      <c r="AM218" s="120">
        <f t="shared" si="100"/>
        <v>0</v>
      </c>
      <c r="AN218" s="120">
        <v>0</v>
      </c>
      <c r="AO218" s="164">
        <f t="shared" si="101"/>
        <v>0</v>
      </c>
      <c r="AP218" s="150">
        <v>0</v>
      </c>
      <c r="AQ218" s="119">
        <f t="shared" si="102"/>
        <v>0</v>
      </c>
      <c r="AR218" s="150">
        <f t="shared" si="98"/>
        <v>0</v>
      </c>
      <c r="AS218" s="165">
        <f t="shared" si="103"/>
        <v>0</v>
      </c>
      <c r="AT218" s="166"/>
      <c r="AU218" s="167">
        <f t="shared" si="104"/>
        <v>0</v>
      </c>
      <c r="AV218" s="124"/>
      <c r="AW218" s="124"/>
      <c r="AX218" s="124"/>
      <c r="AY218" s="124"/>
      <c r="AZ218" s="124"/>
      <c r="BA218" s="124"/>
      <c r="BB218" s="124"/>
      <c r="BC218" s="124"/>
      <c r="BD218" s="124"/>
      <c r="BE218" s="124"/>
      <c r="BF218" s="124"/>
      <c r="BG218" s="124"/>
    </row>
    <row r="219" spans="1:59" s="122" customFormat="1" ht="15" customHeight="1">
      <c r="A219" s="113">
        <v>10</v>
      </c>
      <c r="B219" s="114" t="s">
        <v>44</v>
      </c>
      <c r="C219" s="115"/>
      <c r="D219" s="116">
        <v>0.05</v>
      </c>
      <c r="E219" s="117">
        <f t="shared" si="106"/>
        <v>143741.4</v>
      </c>
      <c r="F219" s="116"/>
      <c r="G219" s="117">
        <f t="shared" si="16"/>
        <v>0</v>
      </c>
      <c r="H219" s="116"/>
      <c r="I219" s="117"/>
      <c r="J219" s="116"/>
      <c r="K219" s="117">
        <f t="shared" si="92"/>
        <v>0</v>
      </c>
      <c r="L219" s="116"/>
      <c r="M219" s="117">
        <f t="shared" si="32"/>
        <v>0</v>
      </c>
      <c r="N219" s="116"/>
      <c r="O219" s="117">
        <f t="shared" si="93"/>
        <v>0</v>
      </c>
      <c r="P219" s="116"/>
      <c r="Q219" s="117">
        <f t="shared" si="20"/>
        <v>0</v>
      </c>
      <c r="R219" s="116"/>
      <c r="S219" s="117">
        <f t="shared" si="94"/>
        <v>0</v>
      </c>
      <c r="T219" s="116"/>
      <c r="U219" s="117">
        <f t="shared" si="27"/>
        <v>0</v>
      </c>
      <c r="V219" s="116"/>
      <c r="W219" s="117">
        <f t="shared" si="22"/>
        <v>0</v>
      </c>
      <c r="X219" s="116"/>
      <c r="Y219" s="117">
        <f t="shared" si="67"/>
        <v>0</v>
      </c>
      <c r="Z219" s="116"/>
      <c r="AA219" s="117">
        <f t="shared" si="23"/>
        <v>0</v>
      </c>
      <c r="AB219" s="116"/>
      <c r="AC219" s="117">
        <f t="shared" si="29"/>
        <v>0</v>
      </c>
      <c r="AD219" s="116">
        <v>1</v>
      </c>
      <c r="AE219" s="117">
        <f t="shared" si="24"/>
        <v>143741.4</v>
      </c>
      <c r="AF219" s="116"/>
      <c r="AG219" s="118">
        <f t="shared" si="33"/>
        <v>0</v>
      </c>
      <c r="AH219" s="218"/>
      <c r="AI219" s="221"/>
      <c r="AJ219" s="221"/>
      <c r="AK219" s="150">
        <f t="shared" si="109"/>
        <v>0</v>
      </c>
      <c r="AL219" s="119">
        <f t="shared" si="109"/>
        <v>0</v>
      </c>
      <c r="AM219" s="120">
        <f t="shared" si="100"/>
        <v>0</v>
      </c>
      <c r="AN219" s="120">
        <v>0</v>
      </c>
      <c r="AO219" s="164">
        <f t="shared" si="101"/>
        <v>0</v>
      </c>
      <c r="AP219" s="150">
        <v>0</v>
      </c>
      <c r="AQ219" s="119">
        <f t="shared" si="102"/>
        <v>0</v>
      </c>
      <c r="AR219" s="150">
        <f t="shared" si="98"/>
        <v>0</v>
      </c>
      <c r="AS219" s="165">
        <f t="shared" si="103"/>
        <v>0</v>
      </c>
      <c r="AT219" s="166"/>
      <c r="AU219" s="167">
        <f t="shared" si="104"/>
        <v>0</v>
      </c>
      <c r="AV219" s="124"/>
      <c r="AW219" s="124"/>
      <c r="AX219" s="124"/>
      <c r="AY219" s="124"/>
      <c r="AZ219" s="124"/>
      <c r="BA219" s="124"/>
      <c r="BB219" s="124"/>
      <c r="BC219" s="124"/>
      <c r="BD219" s="124"/>
      <c r="BE219" s="124"/>
      <c r="BF219" s="124"/>
      <c r="BG219" s="124"/>
    </row>
    <row r="220" spans="1:59" ht="15" customHeight="1">
      <c r="A220" s="66" t="s">
        <v>149</v>
      </c>
      <c r="B220" s="67" t="s">
        <v>150</v>
      </c>
      <c r="C220" s="68">
        <f>7187069+942100+50391+887000</f>
        <v>9066560</v>
      </c>
      <c r="D220" s="69"/>
      <c r="E220" s="70"/>
      <c r="F220" s="71"/>
      <c r="G220" s="72">
        <f t="shared" si="16"/>
        <v>0</v>
      </c>
      <c r="H220" s="71"/>
      <c r="I220" s="72"/>
      <c r="J220" s="72"/>
      <c r="K220" s="72">
        <f t="shared" si="92"/>
        <v>0</v>
      </c>
      <c r="L220" s="71"/>
      <c r="M220" s="72">
        <f t="shared" si="32"/>
        <v>0</v>
      </c>
      <c r="N220" s="72"/>
      <c r="O220" s="72">
        <f t="shared" si="93"/>
        <v>0</v>
      </c>
      <c r="P220" s="71"/>
      <c r="Q220" s="72">
        <f t="shared" si="20"/>
        <v>0</v>
      </c>
      <c r="R220" s="72"/>
      <c r="S220" s="72">
        <f t="shared" si="94"/>
        <v>0</v>
      </c>
      <c r="T220" s="71"/>
      <c r="U220" s="72">
        <f t="shared" si="27"/>
        <v>0</v>
      </c>
      <c r="V220" s="72"/>
      <c r="W220" s="72">
        <f t="shared" si="22"/>
        <v>0</v>
      </c>
      <c r="X220" s="71"/>
      <c r="Y220" s="72">
        <f t="shared" si="67"/>
        <v>0</v>
      </c>
      <c r="Z220" s="72"/>
      <c r="AA220" s="72">
        <f t="shared" si="23"/>
        <v>0</v>
      </c>
      <c r="AB220" s="71"/>
      <c r="AC220" s="72">
        <f t="shared" si="29"/>
        <v>0</v>
      </c>
      <c r="AD220" s="72"/>
      <c r="AE220" s="72">
        <f t="shared" si="24"/>
        <v>0</v>
      </c>
      <c r="AF220" s="71"/>
      <c r="AG220" s="73">
        <f t="shared" si="33"/>
        <v>0</v>
      </c>
      <c r="AH220" s="216">
        <f>SUM(E221:E225)</f>
        <v>9066560</v>
      </c>
      <c r="AI220" s="219">
        <f>SUM(AC221:AC225)+SUM(U221:U225)+SUM(AG221:AG225)+SUM(G221:G225)+SUM(I221:I225)+SUM(Q221:Q225)</f>
        <v>7865240.7995999996</v>
      </c>
      <c r="AJ220" s="222">
        <f>AI220/AH220</f>
        <v>0.86749999995588178</v>
      </c>
      <c r="AK220" s="17">
        <f t="shared" si="109"/>
        <v>0</v>
      </c>
      <c r="AL220" s="23">
        <f t="shared" si="109"/>
        <v>0</v>
      </c>
      <c r="AM220" s="4">
        <f t="shared" si="100"/>
        <v>0</v>
      </c>
      <c r="AN220" s="4">
        <v>0</v>
      </c>
      <c r="AO220" s="136">
        <f t="shared" si="101"/>
        <v>0</v>
      </c>
      <c r="AP220" s="17">
        <v>0</v>
      </c>
      <c r="AQ220" s="23">
        <f t="shared" si="102"/>
        <v>0</v>
      </c>
      <c r="AR220" s="17">
        <f t="shared" si="98"/>
        <v>0</v>
      </c>
      <c r="AS220" s="141">
        <f t="shared" si="103"/>
        <v>0</v>
      </c>
      <c r="AT220" s="158"/>
      <c r="AU220" s="146">
        <f t="shared" si="104"/>
        <v>0</v>
      </c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</row>
    <row r="221" spans="1:59" s="122" customFormat="1" ht="15" customHeight="1">
      <c r="A221" s="113">
        <v>1</v>
      </c>
      <c r="B221" s="114" t="s">
        <v>151</v>
      </c>
      <c r="C221" s="115"/>
      <c r="D221" s="133"/>
      <c r="E221" s="117"/>
      <c r="F221" s="116"/>
      <c r="G221" s="117">
        <f t="shared" si="16"/>
        <v>0</v>
      </c>
      <c r="H221" s="116"/>
      <c r="I221" s="117"/>
      <c r="J221" s="116"/>
      <c r="K221" s="117">
        <f t="shared" si="92"/>
        <v>0</v>
      </c>
      <c r="L221" s="116"/>
      <c r="M221" s="117">
        <f t="shared" si="32"/>
        <v>0</v>
      </c>
      <c r="N221" s="116"/>
      <c r="O221" s="117">
        <f t="shared" si="93"/>
        <v>0</v>
      </c>
      <c r="P221" s="116"/>
      <c r="Q221" s="117">
        <f t="shared" si="20"/>
        <v>0</v>
      </c>
      <c r="R221" s="116"/>
      <c r="S221" s="117">
        <f t="shared" si="94"/>
        <v>0</v>
      </c>
      <c r="T221" s="116"/>
      <c r="U221" s="117">
        <f t="shared" si="27"/>
        <v>0</v>
      </c>
      <c r="V221" s="116"/>
      <c r="W221" s="117">
        <f t="shared" si="22"/>
        <v>0</v>
      </c>
      <c r="X221" s="116"/>
      <c r="Y221" s="117">
        <f t="shared" si="67"/>
        <v>0</v>
      </c>
      <c r="Z221" s="116"/>
      <c r="AA221" s="117">
        <f t="shared" si="23"/>
        <v>0</v>
      </c>
      <c r="AB221" s="116"/>
      <c r="AC221" s="117">
        <f t="shared" si="29"/>
        <v>0</v>
      </c>
      <c r="AD221" s="116"/>
      <c r="AE221" s="117">
        <f t="shared" si="24"/>
        <v>0</v>
      </c>
      <c r="AF221" s="116"/>
      <c r="AG221" s="118">
        <f t="shared" si="33"/>
        <v>0</v>
      </c>
      <c r="AH221" s="217"/>
      <c r="AI221" s="220"/>
      <c r="AJ221" s="220"/>
      <c r="AK221" s="150">
        <f t="shared" si="109"/>
        <v>0</v>
      </c>
      <c r="AL221" s="119">
        <f t="shared" si="109"/>
        <v>0</v>
      </c>
      <c r="AM221" s="120">
        <f t="shared" si="100"/>
        <v>0</v>
      </c>
      <c r="AN221" s="120">
        <v>0</v>
      </c>
      <c r="AO221" s="164">
        <f t="shared" si="101"/>
        <v>0</v>
      </c>
      <c r="AP221" s="150">
        <v>0</v>
      </c>
      <c r="AQ221" s="119">
        <f t="shared" si="102"/>
        <v>0</v>
      </c>
      <c r="AR221" s="150">
        <f t="shared" si="98"/>
        <v>0</v>
      </c>
      <c r="AS221" s="165">
        <f t="shared" si="103"/>
        <v>0</v>
      </c>
      <c r="AT221" s="181"/>
      <c r="AU221" s="167">
        <f t="shared" si="104"/>
        <v>0</v>
      </c>
      <c r="AV221" s="121"/>
      <c r="AW221" s="121"/>
      <c r="AX221" s="121"/>
      <c r="AY221" s="121"/>
      <c r="AZ221" s="121"/>
      <c r="BA221" s="121"/>
      <c r="BB221" s="121"/>
      <c r="BC221" s="121"/>
      <c r="BD221" s="121"/>
      <c r="BE221" s="121"/>
      <c r="BF221" s="121"/>
      <c r="BG221" s="121"/>
    </row>
    <row r="222" spans="1:59" s="122" customFormat="1" ht="15" customHeight="1">
      <c r="A222" s="113">
        <v>2</v>
      </c>
      <c r="B222" s="114" t="s">
        <v>152</v>
      </c>
      <c r="C222" s="115"/>
      <c r="D222" s="116">
        <v>0.8</v>
      </c>
      <c r="E222" s="117">
        <f t="shared" ref="E222:E225" si="110">+D222*$C$220</f>
        <v>7253248</v>
      </c>
      <c r="F222" s="116">
        <v>0.87919999999999998</v>
      </c>
      <c r="G222" s="117">
        <f>+F222*E222+434</f>
        <v>6377489.6415999997</v>
      </c>
      <c r="H222" s="116">
        <v>0.121</v>
      </c>
      <c r="I222" s="117">
        <f>+H222*$E222-1884.65</f>
        <v>875758.35800000001</v>
      </c>
      <c r="J222" s="116"/>
      <c r="K222" s="117">
        <f t="shared" si="92"/>
        <v>0</v>
      </c>
      <c r="L222" s="116"/>
      <c r="M222" s="117">
        <f t="shared" si="32"/>
        <v>0</v>
      </c>
      <c r="N222" s="116"/>
      <c r="O222" s="117">
        <f t="shared" si="93"/>
        <v>0</v>
      </c>
      <c r="P222" s="116"/>
      <c r="Q222" s="117">
        <f t="shared" si="20"/>
        <v>0</v>
      </c>
      <c r="R222" s="116"/>
      <c r="S222" s="117">
        <f t="shared" si="94"/>
        <v>0</v>
      </c>
      <c r="T222" s="116"/>
      <c r="U222" s="117">
        <f t="shared" si="27"/>
        <v>0</v>
      </c>
      <c r="V222" s="116"/>
      <c r="W222" s="117">
        <f t="shared" si="22"/>
        <v>0</v>
      </c>
      <c r="X222" s="116"/>
      <c r="Y222" s="117">
        <f t="shared" si="67"/>
        <v>0</v>
      </c>
      <c r="Z222" s="116"/>
      <c r="AA222" s="117">
        <f t="shared" si="23"/>
        <v>0</v>
      </c>
      <c r="AB222" s="116"/>
      <c r="AC222" s="117">
        <f t="shared" si="29"/>
        <v>0</v>
      </c>
      <c r="AD222" s="116"/>
      <c r="AE222" s="117">
        <f t="shared" si="24"/>
        <v>0</v>
      </c>
      <c r="AF222" s="116"/>
      <c r="AG222" s="118">
        <f t="shared" si="33"/>
        <v>0</v>
      </c>
      <c r="AH222" s="217"/>
      <c r="AI222" s="220"/>
      <c r="AJ222" s="220"/>
      <c r="AK222" s="150">
        <f t="shared" si="109"/>
        <v>1.0002</v>
      </c>
      <c r="AL222" s="119">
        <f t="shared" si="109"/>
        <v>7253247.9995999997</v>
      </c>
      <c r="AM222" s="120">
        <f t="shared" si="100"/>
        <v>1.0002</v>
      </c>
      <c r="AN222" s="120">
        <v>1.0002</v>
      </c>
      <c r="AO222" s="164">
        <f t="shared" si="101"/>
        <v>0</v>
      </c>
      <c r="AP222" s="150">
        <v>1.0002</v>
      </c>
      <c r="AQ222" s="119">
        <f t="shared" si="102"/>
        <v>7254698.6496000001</v>
      </c>
      <c r="AR222" s="150">
        <f t="shared" si="98"/>
        <v>0</v>
      </c>
      <c r="AS222" s="165">
        <f t="shared" si="103"/>
        <v>0</v>
      </c>
      <c r="AT222" s="181"/>
      <c r="AU222" s="167">
        <f t="shared" si="104"/>
        <v>0</v>
      </c>
      <c r="AV222" s="121"/>
      <c r="AW222" s="121"/>
      <c r="AX222" s="121"/>
      <c r="AY222" s="121"/>
      <c r="AZ222" s="121"/>
      <c r="BA222" s="121"/>
      <c r="BB222" s="121"/>
      <c r="BC222" s="121"/>
      <c r="BD222" s="121"/>
      <c r="BE222" s="121"/>
      <c r="BF222" s="121"/>
      <c r="BG222" s="121"/>
    </row>
    <row r="223" spans="1:59" s="122" customFormat="1" ht="15" customHeight="1">
      <c r="A223" s="113">
        <v>3</v>
      </c>
      <c r="B223" s="114" t="s">
        <v>153</v>
      </c>
      <c r="C223" s="115"/>
      <c r="D223" s="194">
        <v>7.4999999999999997E-2</v>
      </c>
      <c r="E223" s="117">
        <f t="shared" si="110"/>
        <v>679992</v>
      </c>
      <c r="F223" s="116"/>
      <c r="G223" s="117">
        <f t="shared" ref="G223:G225" si="111">+F223*E223</f>
        <v>0</v>
      </c>
      <c r="H223" s="116"/>
      <c r="I223" s="117">
        <f t="shared" ref="I223:I225" si="112">+H223*$E223</f>
        <v>0</v>
      </c>
      <c r="J223" s="116"/>
      <c r="K223" s="117">
        <f t="shared" si="92"/>
        <v>0</v>
      </c>
      <c r="L223" s="116"/>
      <c r="M223" s="117">
        <f t="shared" si="32"/>
        <v>0</v>
      </c>
      <c r="N223" s="116">
        <v>0.75</v>
      </c>
      <c r="O223" s="117">
        <f t="shared" si="93"/>
        <v>509994</v>
      </c>
      <c r="P223" s="116">
        <v>0.75</v>
      </c>
      <c r="Q223" s="117">
        <f t="shared" si="20"/>
        <v>509994</v>
      </c>
      <c r="R223" s="116">
        <v>0.25</v>
      </c>
      <c r="S223" s="117">
        <f t="shared" si="94"/>
        <v>169998</v>
      </c>
      <c r="T223" s="116">
        <v>0.15</v>
      </c>
      <c r="U223" s="117">
        <f t="shared" si="27"/>
        <v>101998.8</v>
      </c>
      <c r="V223" s="116"/>
      <c r="W223" s="117">
        <f t="shared" si="22"/>
        <v>0</v>
      </c>
      <c r="X223" s="116"/>
      <c r="Y223" s="117">
        <f t="shared" si="67"/>
        <v>0</v>
      </c>
      <c r="Z223" s="116"/>
      <c r="AA223" s="117">
        <f t="shared" si="23"/>
        <v>0</v>
      </c>
      <c r="AB223" s="116"/>
      <c r="AC223" s="117">
        <f t="shared" si="29"/>
        <v>0</v>
      </c>
      <c r="AD223" s="116"/>
      <c r="AE223" s="117">
        <f t="shared" si="24"/>
        <v>0</v>
      </c>
      <c r="AF223" s="116"/>
      <c r="AG223" s="118">
        <f t="shared" si="33"/>
        <v>0</v>
      </c>
      <c r="AH223" s="217"/>
      <c r="AI223" s="220"/>
      <c r="AJ223" s="220"/>
      <c r="AK223" s="150">
        <f t="shared" si="109"/>
        <v>0.9</v>
      </c>
      <c r="AL223" s="119">
        <f t="shared" si="109"/>
        <v>611992.80000000005</v>
      </c>
      <c r="AM223" s="120">
        <f t="shared" si="100"/>
        <v>0.9</v>
      </c>
      <c r="AN223" s="120">
        <v>0.9</v>
      </c>
      <c r="AO223" s="164">
        <f t="shared" si="101"/>
        <v>0</v>
      </c>
      <c r="AP223" s="150">
        <v>0</v>
      </c>
      <c r="AQ223" s="119">
        <f t="shared" si="102"/>
        <v>0</v>
      </c>
      <c r="AR223" s="150">
        <f t="shared" si="98"/>
        <v>0.9</v>
      </c>
      <c r="AS223" s="165">
        <f t="shared" si="103"/>
        <v>611992.80000000005</v>
      </c>
      <c r="AT223" s="181"/>
      <c r="AU223" s="167">
        <f t="shared" si="104"/>
        <v>0</v>
      </c>
      <c r="AV223" s="121"/>
      <c r="AW223" s="121"/>
      <c r="AX223" s="121"/>
      <c r="AY223" s="121"/>
      <c r="AZ223" s="121"/>
      <c r="BA223" s="121"/>
      <c r="BB223" s="121"/>
      <c r="BC223" s="121"/>
      <c r="BD223" s="121"/>
      <c r="BE223" s="121"/>
      <c r="BF223" s="121"/>
      <c r="BG223" s="121"/>
    </row>
    <row r="224" spans="1:59" s="122" customFormat="1" ht="15" customHeight="1">
      <c r="A224" s="113">
        <v>4</v>
      </c>
      <c r="B224" s="114" t="s">
        <v>154</v>
      </c>
      <c r="C224" s="115"/>
      <c r="D224" s="194">
        <v>7.4999999999999997E-2</v>
      </c>
      <c r="E224" s="117">
        <f t="shared" si="110"/>
        <v>679992</v>
      </c>
      <c r="F224" s="116"/>
      <c r="G224" s="117">
        <f t="shared" si="111"/>
        <v>0</v>
      </c>
      <c r="H224" s="116"/>
      <c r="I224" s="117">
        <f t="shared" si="112"/>
        <v>0</v>
      </c>
      <c r="J224" s="116"/>
      <c r="K224" s="117">
        <f t="shared" si="92"/>
        <v>0</v>
      </c>
      <c r="L224" s="116"/>
      <c r="M224" s="117">
        <f t="shared" si="32"/>
        <v>0</v>
      </c>
      <c r="N224" s="116">
        <v>0.75</v>
      </c>
      <c r="O224" s="117">
        <f t="shared" si="93"/>
        <v>509994</v>
      </c>
      <c r="P224" s="116"/>
      <c r="Q224" s="117">
        <f t="shared" si="20"/>
        <v>0</v>
      </c>
      <c r="R224" s="116">
        <v>0.25</v>
      </c>
      <c r="S224" s="117">
        <f t="shared" si="94"/>
        <v>169998</v>
      </c>
      <c r="T224" s="116"/>
      <c r="U224" s="117">
        <f t="shared" si="27"/>
        <v>0</v>
      </c>
      <c r="V224" s="116"/>
      <c r="W224" s="117">
        <f t="shared" si="22"/>
        <v>0</v>
      </c>
      <c r="X224" s="116"/>
      <c r="Y224" s="117">
        <f t="shared" si="67"/>
        <v>0</v>
      </c>
      <c r="Z224" s="116"/>
      <c r="AA224" s="117">
        <f t="shared" si="23"/>
        <v>0</v>
      </c>
      <c r="AB224" s="116"/>
      <c r="AC224" s="117">
        <f t="shared" si="29"/>
        <v>0</v>
      </c>
      <c r="AD224" s="116"/>
      <c r="AE224" s="117">
        <f t="shared" si="24"/>
        <v>0</v>
      </c>
      <c r="AF224" s="116"/>
      <c r="AG224" s="118">
        <f t="shared" si="33"/>
        <v>0</v>
      </c>
      <c r="AH224" s="217"/>
      <c r="AI224" s="220"/>
      <c r="AJ224" s="220"/>
      <c r="AK224" s="150">
        <f t="shared" si="109"/>
        <v>0</v>
      </c>
      <c r="AL224" s="119">
        <f t="shared" si="109"/>
        <v>0</v>
      </c>
      <c r="AM224" s="120">
        <f t="shared" si="100"/>
        <v>0</v>
      </c>
      <c r="AN224" s="120">
        <v>0</v>
      </c>
      <c r="AO224" s="164">
        <f t="shared" si="101"/>
        <v>0</v>
      </c>
      <c r="AP224" s="150">
        <v>0</v>
      </c>
      <c r="AQ224" s="119">
        <f t="shared" si="102"/>
        <v>0</v>
      </c>
      <c r="AR224" s="150">
        <f t="shared" si="98"/>
        <v>0</v>
      </c>
      <c r="AS224" s="165">
        <f t="shared" si="103"/>
        <v>0</v>
      </c>
      <c r="AT224" s="181"/>
      <c r="AU224" s="167">
        <f t="shared" si="104"/>
        <v>0</v>
      </c>
      <c r="AV224" s="121"/>
      <c r="AW224" s="121"/>
      <c r="AX224" s="121"/>
      <c r="AY224" s="121"/>
      <c r="AZ224" s="121"/>
      <c r="BA224" s="121"/>
      <c r="BB224" s="121"/>
      <c r="BC224" s="121"/>
      <c r="BD224" s="121"/>
      <c r="BE224" s="121"/>
      <c r="BF224" s="121"/>
      <c r="BG224" s="121"/>
    </row>
    <row r="225" spans="1:59" s="122" customFormat="1" ht="15" customHeight="1">
      <c r="A225" s="113">
        <v>5</v>
      </c>
      <c r="B225" s="114" t="s">
        <v>155</v>
      </c>
      <c r="C225" s="115"/>
      <c r="D225" s="116">
        <v>0.05</v>
      </c>
      <c r="E225" s="117">
        <f t="shared" si="110"/>
        <v>453328</v>
      </c>
      <c r="F225" s="116"/>
      <c r="G225" s="117">
        <f t="shared" si="111"/>
        <v>0</v>
      </c>
      <c r="H225" s="116"/>
      <c r="I225" s="117">
        <f t="shared" si="112"/>
        <v>0</v>
      </c>
      <c r="J225" s="116"/>
      <c r="K225" s="117">
        <f t="shared" si="92"/>
        <v>0</v>
      </c>
      <c r="L225" s="116"/>
      <c r="M225" s="117">
        <f t="shared" si="32"/>
        <v>0</v>
      </c>
      <c r="N225" s="116"/>
      <c r="O225" s="117">
        <f t="shared" si="93"/>
        <v>0</v>
      </c>
      <c r="P225" s="116"/>
      <c r="Q225" s="117">
        <f t="shared" si="20"/>
        <v>0</v>
      </c>
      <c r="R225" s="116"/>
      <c r="S225" s="117">
        <f t="shared" si="94"/>
        <v>0</v>
      </c>
      <c r="T225" s="116"/>
      <c r="U225" s="117">
        <f t="shared" si="27"/>
        <v>0</v>
      </c>
      <c r="V225" s="116"/>
      <c r="W225" s="117">
        <f t="shared" si="22"/>
        <v>0</v>
      </c>
      <c r="X225" s="116"/>
      <c r="Y225" s="117">
        <f t="shared" si="67"/>
        <v>0</v>
      </c>
      <c r="Z225" s="116">
        <v>0.5</v>
      </c>
      <c r="AA225" s="117">
        <f>+Z225*$E225-155.28</f>
        <v>226508.72</v>
      </c>
      <c r="AB225" s="116"/>
      <c r="AC225" s="117">
        <f t="shared" si="29"/>
        <v>0</v>
      </c>
      <c r="AD225" s="116">
        <v>0.5</v>
      </c>
      <c r="AE225" s="117">
        <f>+AD225*E225+155.28</f>
        <v>226819.28</v>
      </c>
      <c r="AF225" s="116"/>
      <c r="AG225" s="118">
        <f t="shared" si="33"/>
        <v>0</v>
      </c>
      <c r="AH225" s="218"/>
      <c r="AI225" s="221"/>
      <c r="AJ225" s="221"/>
      <c r="AK225" s="150">
        <f t="shared" si="109"/>
        <v>0</v>
      </c>
      <c r="AL225" s="119">
        <f t="shared" si="109"/>
        <v>0</v>
      </c>
      <c r="AM225" s="120">
        <f t="shared" si="100"/>
        <v>0</v>
      </c>
      <c r="AN225" s="120">
        <v>0</v>
      </c>
      <c r="AO225" s="164">
        <f t="shared" si="101"/>
        <v>0</v>
      </c>
      <c r="AP225" s="150">
        <v>0</v>
      </c>
      <c r="AQ225" s="119">
        <f t="shared" si="102"/>
        <v>0</v>
      </c>
      <c r="AR225" s="150">
        <f t="shared" si="98"/>
        <v>0</v>
      </c>
      <c r="AS225" s="165">
        <f t="shared" si="103"/>
        <v>0</v>
      </c>
      <c r="AT225" s="181"/>
      <c r="AU225" s="167">
        <f t="shared" si="104"/>
        <v>0</v>
      </c>
      <c r="AV225" s="121"/>
      <c r="AW225" s="121"/>
      <c r="AX225" s="121"/>
      <c r="AY225" s="121"/>
      <c r="AZ225" s="121"/>
      <c r="BA225" s="121"/>
      <c r="BB225" s="121"/>
      <c r="BC225" s="121"/>
      <c r="BD225" s="121"/>
      <c r="BE225" s="121"/>
      <c r="BF225" s="121"/>
      <c r="BG225" s="121"/>
    </row>
    <row r="226" spans="1:59" ht="15" customHeight="1">
      <c r="A226" s="66" t="s">
        <v>156</v>
      </c>
      <c r="B226" s="67" t="s">
        <v>157</v>
      </c>
      <c r="C226" s="68"/>
      <c r="D226" s="69"/>
      <c r="E226" s="70"/>
      <c r="F226" s="71"/>
      <c r="G226" s="70"/>
      <c r="H226" s="71"/>
      <c r="I226" s="72"/>
      <c r="J226" s="72"/>
      <c r="K226" s="72">
        <f t="shared" si="92"/>
        <v>0</v>
      </c>
      <c r="L226" s="71"/>
      <c r="M226" s="72">
        <f t="shared" si="32"/>
        <v>0</v>
      </c>
      <c r="N226" s="72"/>
      <c r="O226" s="72">
        <f t="shared" si="93"/>
        <v>0</v>
      </c>
      <c r="P226" s="71"/>
      <c r="Q226" s="72">
        <f t="shared" si="20"/>
        <v>0</v>
      </c>
      <c r="R226" s="72"/>
      <c r="S226" s="72">
        <f t="shared" si="94"/>
        <v>0</v>
      </c>
      <c r="T226" s="71"/>
      <c r="U226" s="72">
        <f t="shared" si="27"/>
        <v>0</v>
      </c>
      <c r="V226" s="72"/>
      <c r="W226" s="72">
        <f t="shared" si="22"/>
        <v>0</v>
      </c>
      <c r="X226" s="71"/>
      <c r="Y226" s="72">
        <f t="shared" si="67"/>
        <v>0</v>
      </c>
      <c r="Z226" s="72"/>
      <c r="AA226" s="72">
        <f t="shared" ref="AA226:AA259" si="113">+Z226*$E226</f>
        <v>0</v>
      </c>
      <c r="AB226" s="71"/>
      <c r="AC226" s="72">
        <f t="shared" si="29"/>
        <v>0</v>
      </c>
      <c r="AD226" s="72"/>
      <c r="AE226" s="72">
        <f t="shared" ref="AE226:AE269" si="114">+AD226*E226</f>
        <v>0</v>
      </c>
      <c r="AF226" s="71"/>
      <c r="AG226" s="73">
        <f t="shared" si="33"/>
        <v>0</v>
      </c>
      <c r="AH226" s="216">
        <f>SUM(E228:E256)</f>
        <v>3037751</v>
      </c>
      <c r="AI226" s="219">
        <f>SUM(U228:U256)+SUM(M228:M256)+SUM(Q228:Q256)+SUM(Y228:Y256)+SUM(AC228:AC256)</f>
        <v>0</v>
      </c>
      <c r="AJ226" s="222">
        <f>AI226/AH226</f>
        <v>0</v>
      </c>
      <c r="AK226" s="17">
        <f t="shared" si="109"/>
        <v>0</v>
      </c>
      <c r="AL226" s="23">
        <f t="shared" si="109"/>
        <v>0</v>
      </c>
      <c r="AM226" s="4">
        <f t="shared" si="100"/>
        <v>0</v>
      </c>
      <c r="AN226" s="4">
        <v>0</v>
      </c>
      <c r="AO226" s="136">
        <f t="shared" si="101"/>
        <v>0</v>
      </c>
      <c r="AP226" s="17">
        <v>0</v>
      </c>
      <c r="AQ226" s="23">
        <f t="shared" si="102"/>
        <v>0</v>
      </c>
      <c r="AR226" s="17">
        <f t="shared" si="98"/>
        <v>0</v>
      </c>
      <c r="AS226" s="141">
        <f t="shared" si="103"/>
        <v>0</v>
      </c>
      <c r="AT226" s="158"/>
      <c r="AU226" s="146">
        <f t="shared" si="104"/>
        <v>0</v>
      </c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</row>
    <row r="227" spans="1:59" ht="15" customHeight="1">
      <c r="A227" s="66" t="s">
        <v>158</v>
      </c>
      <c r="B227" s="67" t="s">
        <v>159</v>
      </c>
      <c r="C227" s="68">
        <v>674400</v>
      </c>
      <c r="D227" s="69"/>
      <c r="E227" s="70"/>
      <c r="F227" s="71"/>
      <c r="G227" s="70"/>
      <c r="H227" s="71"/>
      <c r="I227" s="72"/>
      <c r="J227" s="72"/>
      <c r="K227" s="72">
        <f t="shared" si="92"/>
        <v>0</v>
      </c>
      <c r="L227" s="71"/>
      <c r="M227" s="72">
        <f t="shared" si="32"/>
        <v>0</v>
      </c>
      <c r="N227" s="72"/>
      <c r="O227" s="72">
        <f t="shared" si="93"/>
        <v>0</v>
      </c>
      <c r="P227" s="71"/>
      <c r="Q227" s="72">
        <f t="shared" si="20"/>
        <v>0</v>
      </c>
      <c r="R227" s="72"/>
      <c r="S227" s="72">
        <f t="shared" si="94"/>
        <v>0</v>
      </c>
      <c r="T227" s="71"/>
      <c r="U227" s="72">
        <f t="shared" si="27"/>
        <v>0</v>
      </c>
      <c r="V227" s="72"/>
      <c r="W227" s="72">
        <f t="shared" si="22"/>
        <v>0</v>
      </c>
      <c r="X227" s="71"/>
      <c r="Y227" s="72">
        <f t="shared" si="67"/>
        <v>0</v>
      </c>
      <c r="Z227" s="72"/>
      <c r="AA227" s="72">
        <f t="shared" si="113"/>
        <v>0</v>
      </c>
      <c r="AB227" s="71"/>
      <c r="AC227" s="72">
        <f t="shared" si="29"/>
        <v>0</v>
      </c>
      <c r="AD227" s="72"/>
      <c r="AE227" s="72">
        <f t="shared" si="114"/>
        <v>0</v>
      </c>
      <c r="AF227" s="71"/>
      <c r="AG227" s="73">
        <f t="shared" si="33"/>
        <v>0</v>
      </c>
      <c r="AH227" s="217"/>
      <c r="AI227" s="220"/>
      <c r="AJ227" s="220"/>
      <c r="AK227" s="17">
        <f t="shared" si="109"/>
        <v>0</v>
      </c>
      <c r="AL227" s="23">
        <f t="shared" si="109"/>
        <v>0</v>
      </c>
      <c r="AM227" s="4">
        <f t="shared" si="100"/>
        <v>0</v>
      </c>
      <c r="AN227" s="4">
        <v>0</v>
      </c>
      <c r="AO227" s="136">
        <f t="shared" si="101"/>
        <v>0</v>
      </c>
      <c r="AP227" s="17">
        <v>0</v>
      </c>
      <c r="AQ227" s="23">
        <f t="shared" si="102"/>
        <v>0</v>
      </c>
      <c r="AR227" s="17">
        <f t="shared" si="98"/>
        <v>0</v>
      </c>
      <c r="AS227" s="141">
        <f t="shared" si="103"/>
        <v>0</v>
      </c>
      <c r="AT227" s="158"/>
      <c r="AU227" s="146">
        <f t="shared" si="104"/>
        <v>0</v>
      </c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</row>
    <row r="228" spans="1:59" ht="15" customHeight="1">
      <c r="A228" s="50">
        <v>1</v>
      </c>
      <c r="B228" s="24" t="s">
        <v>160</v>
      </c>
      <c r="C228" s="55"/>
      <c r="D228" s="28">
        <f>E228/$C227</f>
        <v>0.10097864768683273</v>
      </c>
      <c r="E228" s="27">
        <v>68100</v>
      </c>
      <c r="F228" s="28"/>
      <c r="G228" s="27">
        <f t="shared" ref="G228:G335" si="115">+F228*E228</f>
        <v>0</v>
      </c>
      <c r="H228" s="28"/>
      <c r="I228" s="27"/>
      <c r="J228" s="28"/>
      <c r="K228" s="27">
        <f t="shared" si="92"/>
        <v>0</v>
      </c>
      <c r="L228" s="28"/>
      <c r="M228" s="27">
        <f t="shared" si="32"/>
        <v>0</v>
      </c>
      <c r="N228" s="28">
        <v>1</v>
      </c>
      <c r="O228" s="27">
        <f t="shared" si="93"/>
        <v>68100</v>
      </c>
      <c r="P228" s="28"/>
      <c r="Q228" s="27">
        <f t="shared" si="20"/>
        <v>0</v>
      </c>
      <c r="R228" s="28"/>
      <c r="S228" s="27">
        <f t="shared" si="94"/>
        <v>0</v>
      </c>
      <c r="T228" s="28"/>
      <c r="U228" s="27">
        <f t="shared" si="27"/>
        <v>0</v>
      </c>
      <c r="V228" s="28"/>
      <c r="W228" s="27">
        <f t="shared" si="22"/>
        <v>0</v>
      </c>
      <c r="X228" s="28"/>
      <c r="Y228" s="27">
        <f t="shared" si="67"/>
        <v>0</v>
      </c>
      <c r="Z228" s="28"/>
      <c r="AA228" s="27">
        <f t="shared" si="113"/>
        <v>0</v>
      </c>
      <c r="AB228" s="28"/>
      <c r="AC228" s="27">
        <f t="shared" si="29"/>
        <v>0</v>
      </c>
      <c r="AD228" s="28"/>
      <c r="AE228" s="27">
        <f t="shared" si="114"/>
        <v>0</v>
      </c>
      <c r="AF228" s="28"/>
      <c r="AG228" s="30">
        <f t="shared" si="33"/>
        <v>0</v>
      </c>
      <c r="AH228" s="217"/>
      <c r="AI228" s="220"/>
      <c r="AJ228" s="220"/>
      <c r="AK228" s="17">
        <f t="shared" si="109"/>
        <v>0</v>
      </c>
      <c r="AL228" s="23">
        <f t="shared" si="109"/>
        <v>0</v>
      </c>
      <c r="AM228" s="4">
        <f t="shared" si="100"/>
        <v>0</v>
      </c>
      <c r="AN228" s="4">
        <v>0</v>
      </c>
      <c r="AO228" s="136">
        <f t="shared" si="101"/>
        <v>0</v>
      </c>
      <c r="AP228" s="17">
        <v>0</v>
      </c>
      <c r="AQ228" s="23">
        <f t="shared" si="102"/>
        <v>0</v>
      </c>
      <c r="AR228" s="17">
        <f t="shared" si="98"/>
        <v>0</v>
      </c>
      <c r="AS228" s="141">
        <f t="shared" si="103"/>
        <v>0</v>
      </c>
      <c r="AT228" s="158">
        <f t="shared" ref="AT228:AT229" si="116">100%-AK228</f>
        <v>1</v>
      </c>
      <c r="AU228" s="146">
        <f t="shared" si="104"/>
        <v>68100</v>
      </c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</row>
    <row r="229" spans="1:59" ht="15" customHeight="1">
      <c r="A229" s="50">
        <v>2</v>
      </c>
      <c r="B229" s="24" t="s">
        <v>161</v>
      </c>
      <c r="C229" s="55"/>
      <c r="D229" s="28">
        <f>E229/$C227</f>
        <v>0.25207591933570583</v>
      </c>
      <c r="E229" s="27">
        <v>170000</v>
      </c>
      <c r="F229" s="28"/>
      <c r="G229" s="27">
        <f t="shared" si="115"/>
        <v>0</v>
      </c>
      <c r="H229" s="28"/>
      <c r="I229" s="27">
        <f t="shared" ref="I229:I230" si="117">+H229*$E229</f>
        <v>0</v>
      </c>
      <c r="J229" s="28"/>
      <c r="K229" s="27">
        <f t="shared" si="92"/>
        <v>0</v>
      </c>
      <c r="L229" s="28"/>
      <c r="M229" s="27">
        <f t="shared" si="32"/>
        <v>0</v>
      </c>
      <c r="N229" s="28">
        <v>1</v>
      </c>
      <c r="O229" s="27">
        <f t="shared" si="93"/>
        <v>170000</v>
      </c>
      <c r="P229" s="28"/>
      <c r="Q229" s="27">
        <f t="shared" si="20"/>
        <v>0</v>
      </c>
      <c r="R229" s="28"/>
      <c r="S229" s="27">
        <f t="shared" si="94"/>
        <v>0</v>
      </c>
      <c r="T229" s="28"/>
      <c r="U229" s="27">
        <f t="shared" si="27"/>
        <v>0</v>
      </c>
      <c r="V229" s="28"/>
      <c r="W229" s="27">
        <f t="shared" si="22"/>
        <v>0</v>
      </c>
      <c r="X229" s="28"/>
      <c r="Y229" s="27">
        <f t="shared" si="67"/>
        <v>0</v>
      </c>
      <c r="Z229" s="28"/>
      <c r="AA229" s="27">
        <f t="shared" si="113"/>
        <v>0</v>
      </c>
      <c r="AB229" s="28"/>
      <c r="AC229" s="27">
        <f t="shared" si="29"/>
        <v>0</v>
      </c>
      <c r="AD229" s="28"/>
      <c r="AE229" s="27">
        <f t="shared" si="114"/>
        <v>0</v>
      </c>
      <c r="AF229" s="28"/>
      <c r="AG229" s="30">
        <f t="shared" si="33"/>
        <v>0</v>
      </c>
      <c r="AH229" s="217"/>
      <c r="AI229" s="220"/>
      <c r="AJ229" s="220"/>
      <c r="AK229" s="17">
        <f t="shared" si="109"/>
        <v>0</v>
      </c>
      <c r="AL229" s="23">
        <f t="shared" si="109"/>
        <v>0</v>
      </c>
      <c r="AM229" s="4">
        <f t="shared" si="100"/>
        <v>0</v>
      </c>
      <c r="AN229" s="4">
        <v>0</v>
      </c>
      <c r="AO229" s="136">
        <f t="shared" si="101"/>
        <v>0</v>
      </c>
      <c r="AP229" s="17">
        <v>0</v>
      </c>
      <c r="AQ229" s="23">
        <f t="shared" si="102"/>
        <v>0</v>
      </c>
      <c r="AR229" s="17">
        <f t="shared" si="98"/>
        <v>0</v>
      </c>
      <c r="AS229" s="141">
        <f t="shared" si="103"/>
        <v>0</v>
      </c>
      <c r="AT229" s="158">
        <f t="shared" si="116"/>
        <v>1</v>
      </c>
      <c r="AU229" s="146">
        <f t="shared" si="104"/>
        <v>170000</v>
      </c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</row>
    <row r="230" spans="1:59" ht="15" customHeight="1">
      <c r="A230" s="50">
        <v>3</v>
      </c>
      <c r="B230" s="24" t="s">
        <v>162</v>
      </c>
      <c r="C230" s="55"/>
      <c r="D230" s="28">
        <f>E230/$C227</f>
        <v>0.30397390272835112</v>
      </c>
      <c r="E230" s="27">
        <v>205000</v>
      </c>
      <c r="F230" s="28"/>
      <c r="G230" s="27">
        <f t="shared" si="115"/>
        <v>0</v>
      </c>
      <c r="H230" s="28"/>
      <c r="I230" s="27">
        <f t="shared" si="117"/>
        <v>0</v>
      </c>
      <c r="J230" s="28"/>
      <c r="K230" s="27">
        <f t="shared" si="92"/>
        <v>0</v>
      </c>
      <c r="L230" s="28"/>
      <c r="M230" s="27">
        <f t="shared" si="32"/>
        <v>0</v>
      </c>
      <c r="N230" s="28">
        <v>1</v>
      </c>
      <c r="O230" s="27">
        <f t="shared" si="93"/>
        <v>205000</v>
      </c>
      <c r="P230" s="28"/>
      <c r="Q230" s="27">
        <f t="shared" si="20"/>
        <v>0</v>
      </c>
      <c r="R230" s="28"/>
      <c r="S230" s="27">
        <f t="shared" si="94"/>
        <v>0</v>
      </c>
      <c r="T230" s="28"/>
      <c r="U230" s="27">
        <f t="shared" si="27"/>
        <v>0</v>
      </c>
      <c r="V230" s="28"/>
      <c r="W230" s="27">
        <f t="shared" si="22"/>
        <v>0</v>
      </c>
      <c r="X230" s="28"/>
      <c r="Y230" s="27">
        <f t="shared" si="67"/>
        <v>0</v>
      </c>
      <c r="Z230" s="28"/>
      <c r="AA230" s="27">
        <f t="shared" si="113"/>
        <v>0</v>
      </c>
      <c r="AB230" s="28"/>
      <c r="AC230" s="27">
        <f t="shared" si="29"/>
        <v>0</v>
      </c>
      <c r="AD230" s="28"/>
      <c r="AE230" s="27">
        <f t="shared" si="114"/>
        <v>0</v>
      </c>
      <c r="AF230" s="28"/>
      <c r="AG230" s="30">
        <f t="shared" si="33"/>
        <v>0</v>
      </c>
      <c r="AH230" s="217"/>
      <c r="AI230" s="220"/>
      <c r="AJ230" s="220"/>
      <c r="AK230" s="17">
        <f t="shared" si="109"/>
        <v>0</v>
      </c>
      <c r="AL230" s="23">
        <f t="shared" si="109"/>
        <v>0</v>
      </c>
      <c r="AM230" s="4">
        <f t="shared" si="100"/>
        <v>0</v>
      </c>
      <c r="AN230" s="4">
        <v>0</v>
      </c>
      <c r="AO230" s="136">
        <f t="shared" si="101"/>
        <v>0</v>
      </c>
      <c r="AP230" s="17">
        <v>0</v>
      </c>
      <c r="AQ230" s="23">
        <f t="shared" si="102"/>
        <v>0</v>
      </c>
      <c r="AR230" s="17">
        <f t="shared" si="98"/>
        <v>0</v>
      </c>
      <c r="AS230" s="141">
        <f t="shared" si="103"/>
        <v>0</v>
      </c>
      <c r="AT230" s="158"/>
      <c r="AU230" s="146">
        <f t="shared" si="104"/>
        <v>0</v>
      </c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</row>
    <row r="231" spans="1:59" ht="15" customHeight="1">
      <c r="A231" s="50">
        <v>4</v>
      </c>
      <c r="B231" s="24" t="s">
        <v>163</v>
      </c>
      <c r="C231" s="55"/>
      <c r="D231" s="28">
        <f>E231/$C227</f>
        <v>0.25207591933570583</v>
      </c>
      <c r="E231" s="27">
        <v>170000</v>
      </c>
      <c r="F231" s="28"/>
      <c r="G231" s="27">
        <f t="shared" si="115"/>
        <v>0</v>
      </c>
      <c r="H231" s="28"/>
      <c r="I231" s="27"/>
      <c r="J231" s="28"/>
      <c r="K231" s="27">
        <f t="shared" si="92"/>
        <v>0</v>
      </c>
      <c r="L231" s="28"/>
      <c r="M231" s="27">
        <f t="shared" si="32"/>
        <v>0</v>
      </c>
      <c r="N231" s="28"/>
      <c r="O231" s="27">
        <f t="shared" si="93"/>
        <v>0</v>
      </c>
      <c r="P231" s="28"/>
      <c r="Q231" s="27">
        <f t="shared" si="20"/>
        <v>0</v>
      </c>
      <c r="R231" s="28">
        <f>41%-19%</f>
        <v>0.21999999999999997</v>
      </c>
      <c r="S231" s="27">
        <f>+R231*$E231-163</f>
        <v>37236.999999999993</v>
      </c>
      <c r="T231" s="28"/>
      <c r="U231" s="27">
        <f t="shared" si="27"/>
        <v>0</v>
      </c>
      <c r="V231" s="28">
        <f>40%+19%</f>
        <v>0.59000000000000008</v>
      </c>
      <c r="W231" s="27">
        <f>+V231*E231+163</f>
        <v>100463.00000000001</v>
      </c>
      <c r="X231" s="28"/>
      <c r="Y231" s="27">
        <f t="shared" si="67"/>
        <v>0</v>
      </c>
      <c r="Z231" s="28">
        <v>0.19</v>
      </c>
      <c r="AA231" s="27">
        <f t="shared" si="113"/>
        <v>32300</v>
      </c>
      <c r="AB231" s="28"/>
      <c r="AC231" s="27">
        <f t="shared" si="29"/>
        <v>0</v>
      </c>
      <c r="AD231" s="28"/>
      <c r="AE231" s="27">
        <f t="shared" si="114"/>
        <v>0</v>
      </c>
      <c r="AF231" s="28"/>
      <c r="AG231" s="30">
        <f t="shared" si="33"/>
        <v>0</v>
      </c>
      <c r="AH231" s="217"/>
      <c r="AI231" s="220"/>
      <c r="AJ231" s="220"/>
      <c r="AK231" s="17">
        <f t="shared" si="109"/>
        <v>0</v>
      </c>
      <c r="AL231" s="23">
        <f t="shared" si="109"/>
        <v>0</v>
      </c>
      <c r="AM231" s="4">
        <f t="shared" si="100"/>
        <v>0</v>
      </c>
      <c r="AN231" s="4">
        <v>0</v>
      </c>
      <c r="AO231" s="136">
        <f t="shared" si="101"/>
        <v>0</v>
      </c>
      <c r="AP231" s="17">
        <v>0</v>
      </c>
      <c r="AQ231" s="23">
        <f t="shared" si="102"/>
        <v>0</v>
      </c>
      <c r="AR231" s="17">
        <f t="shared" si="98"/>
        <v>0</v>
      </c>
      <c r="AS231" s="141">
        <f t="shared" si="103"/>
        <v>0</v>
      </c>
      <c r="AT231" s="158"/>
      <c r="AU231" s="146">
        <f t="shared" si="104"/>
        <v>0</v>
      </c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</row>
    <row r="232" spans="1:59" ht="15" customHeight="1">
      <c r="A232" s="50">
        <v>5</v>
      </c>
      <c r="B232" s="24" t="s">
        <v>44</v>
      </c>
      <c r="C232" s="55"/>
      <c r="D232" s="28">
        <f>E232/$C227</f>
        <v>9.0895610913404506E-2</v>
      </c>
      <c r="E232" s="27">
        <v>61300</v>
      </c>
      <c r="F232" s="28"/>
      <c r="G232" s="27">
        <f t="shared" si="115"/>
        <v>0</v>
      </c>
      <c r="H232" s="28"/>
      <c r="I232" s="27"/>
      <c r="J232" s="28"/>
      <c r="K232" s="27">
        <f t="shared" si="92"/>
        <v>0</v>
      </c>
      <c r="L232" s="28"/>
      <c r="M232" s="27">
        <f t="shared" si="32"/>
        <v>0</v>
      </c>
      <c r="N232" s="28"/>
      <c r="O232" s="27">
        <f t="shared" si="93"/>
        <v>0</v>
      </c>
      <c r="P232" s="28"/>
      <c r="Q232" s="27">
        <f t="shared" si="20"/>
        <v>0</v>
      </c>
      <c r="R232" s="28"/>
      <c r="S232" s="27">
        <f t="shared" ref="S232:S262" si="118">+R232*$E232</f>
        <v>0</v>
      </c>
      <c r="T232" s="28"/>
      <c r="U232" s="27">
        <f t="shared" si="27"/>
        <v>0</v>
      </c>
      <c r="V232" s="28"/>
      <c r="W232" s="27">
        <f t="shared" ref="W232:W259" si="119">+V232*E232</f>
        <v>0</v>
      </c>
      <c r="X232" s="28"/>
      <c r="Y232" s="27">
        <f t="shared" si="67"/>
        <v>0</v>
      </c>
      <c r="Z232" s="28">
        <v>1</v>
      </c>
      <c r="AA232" s="27">
        <f t="shared" si="113"/>
        <v>61300</v>
      </c>
      <c r="AB232" s="28"/>
      <c r="AC232" s="27">
        <f t="shared" si="29"/>
        <v>0</v>
      </c>
      <c r="AD232" s="28"/>
      <c r="AE232" s="27">
        <f t="shared" si="114"/>
        <v>0</v>
      </c>
      <c r="AF232" s="28"/>
      <c r="AG232" s="30">
        <f t="shared" si="33"/>
        <v>0</v>
      </c>
      <c r="AH232" s="217"/>
      <c r="AI232" s="220"/>
      <c r="AJ232" s="220"/>
      <c r="AK232" s="17">
        <f t="shared" ref="AK232:AL247" si="120">F232+H232+L232+P232+T232+X232+AB232+AF232</f>
        <v>0</v>
      </c>
      <c r="AL232" s="23">
        <f t="shared" si="120"/>
        <v>0</v>
      </c>
      <c r="AM232" s="4">
        <f t="shared" si="100"/>
        <v>0</v>
      </c>
      <c r="AN232" s="4">
        <v>0</v>
      </c>
      <c r="AO232" s="136">
        <f t="shared" si="101"/>
        <v>0</v>
      </c>
      <c r="AP232" s="17">
        <v>0</v>
      </c>
      <c r="AQ232" s="23">
        <f t="shared" si="102"/>
        <v>0</v>
      </c>
      <c r="AR232" s="17">
        <f t="shared" si="98"/>
        <v>0</v>
      </c>
      <c r="AS232" s="141">
        <f t="shared" si="103"/>
        <v>0</v>
      </c>
      <c r="AT232" s="158"/>
      <c r="AU232" s="146">
        <f t="shared" si="104"/>
        <v>0</v>
      </c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</row>
    <row r="233" spans="1:59" ht="15" customHeight="1">
      <c r="A233" s="66" t="s">
        <v>164</v>
      </c>
      <c r="B233" s="67" t="s">
        <v>165</v>
      </c>
      <c r="C233" s="84">
        <v>848200</v>
      </c>
      <c r="D233" s="85"/>
      <c r="E233" s="70"/>
      <c r="F233" s="71"/>
      <c r="G233" s="72">
        <f t="shared" si="115"/>
        <v>0</v>
      </c>
      <c r="H233" s="71"/>
      <c r="I233" s="72"/>
      <c r="J233" s="72"/>
      <c r="K233" s="72">
        <f t="shared" si="92"/>
        <v>0</v>
      </c>
      <c r="L233" s="71"/>
      <c r="M233" s="72">
        <f t="shared" si="32"/>
        <v>0</v>
      </c>
      <c r="N233" s="72"/>
      <c r="O233" s="72">
        <f t="shared" si="93"/>
        <v>0</v>
      </c>
      <c r="P233" s="71"/>
      <c r="Q233" s="72">
        <f t="shared" si="20"/>
        <v>0</v>
      </c>
      <c r="R233" s="72"/>
      <c r="S233" s="72">
        <f t="shared" si="118"/>
        <v>0</v>
      </c>
      <c r="T233" s="71"/>
      <c r="U233" s="72">
        <f t="shared" si="27"/>
        <v>0</v>
      </c>
      <c r="V233" s="72"/>
      <c r="W233" s="72">
        <f t="shared" si="119"/>
        <v>0</v>
      </c>
      <c r="X233" s="71"/>
      <c r="Y233" s="72">
        <f t="shared" si="67"/>
        <v>0</v>
      </c>
      <c r="Z233" s="72"/>
      <c r="AA233" s="72">
        <f t="shared" si="113"/>
        <v>0</v>
      </c>
      <c r="AB233" s="71"/>
      <c r="AC233" s="72">
        <f t="shared" si="29"/>
        <v>0</v>
      </c>
      <c r="AD233" s="72"/>
      <c r="AE233" s="72">
        <f t="shared" si="114"/>
        <v>0</v>
      </c>
      <c r="AF233" s="71"/>
      <c r="AG233" s="73">
        <f t="shared" si="33"/>
        <v>0</v>
      </c>
      <c r="AH233" s="217"/>
      <c r="AI233" s="220"/>
      <c r="AJ233" s="220"/>
      <c r="AK233" s="17">
        <f t="shared" si="120"/>
        <v>0</v>
      </c>
      <c r="AL233" s="23">
        <f t="shared" si="120"/>
        <v>0</v>
      </c>
      <c r="AM233" s="4">
        <f t="shared" si="100"/>
        <v>0</v>
      </c>
      <c r="AN233" s="4">
        <v>0</v>
      </c>
      <c r="AO233" s="136">
        <f t="shared" si="101"/>
        <v>0</v>
      </c>
      <c r="AP233" s="17">
        <v>0</v>
      </c>
      <c r="AQ233" s="23">
        <f t="shared" si="102"/>
        <v>0</v>
      </c>
      <c r="AR233" s="17">
        <f t="shared" si="98"/>
        <v>0</v>
      </c>
      <c r="AS233" s="141">
        <f t="shared" si="103"/>
        <v>0</v>
      </c>
      <c r="AT233" s="158"/>
      <c r="AU233" s="146">
        <f t="shared" si="104"/>
        <v>0</v>
      </c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</row>
    <row r="234" spans="1:59" ht="15" customHeight="1">
      <c r="A234" s="50">
        <v>1</v>
      </c>
      <c r="B234" s="24" t="s">
        <v>160</v>
      </c>
      <c r="C234" s="55"/>
      <c r="D234" s="28">
        <f>E234/$C233</f>
        <v>0.10127328460268804</v>
      </c>
      <c r="E234" s="27">
        <v>85900</v>
      </c>
      <c r="F234" s="28"/>
      <c r="G234" s="27">
        <f t="shared" si="115"/>
        <v>0</v>
      </c>
      <c r="H234" s="28"/>
      <c r="I234" s="27"/>
      <c r="J234" s="28"/>
      <c r="K234" s="27">
        <f t="shared" si="92"/>
        <v>0</v>
      </c>
      <c r="L234" s="28"/>
      <c r="M234" s="27">
        <f t="shared" si="32"/>
        <v>0</v>
      </c>
      <c r="N234" s="28">
        <v>1</v>
      </c>
      <c r="O234" s="27">
        <f t="shared" si="93"/>
        <v>85900</v>
      </c>
      <c r="P234" s="28"/>
      <c r="Q234" s="27">
        <f t="shared" si="20"/>
        <v>0</v>
      </c>
      <c r="R234" s="28"/>
      <c r="S234" s="27">
        <f t="shared" si="118"/>
        <v>0</v>
      </c>
      <c r="T234" s="28"/>
      <c r="U234" s="27">
        <f t="shared" si="27"/>
        <v>0</v>
      </c>
      <c r="V234" s="28"/>
      <c r="W234" s="27">
        <f t="shared" si="119"/>
        <v>0</v>
      </c>
      <c r="X234" s="28"/>
      <c r="Y234" s="27">
        <f t="shared" si="67"/>
        <v>0</v>
      </c>
      <c r="Z234" s="28"/>
      <c r="AA234" s="27">
        <f t="shared" si="113"/>
        <v>0</v>
      </c>
      <c r="AB234" s="28"/>
      <c r="AC234" s="27">
        <f t="shared" si="29"/>
        <v>0</v>
      </c>
      <c r="AD234" s="28"/>
      <c r="AE234" s="27">
        <f t="shared" si="114"/>
        <v>0</v>
      </c>
      <c r="AF234" s="28"/>
      <c r="AG234" s="30">
        <f t="shared" si="33"/>
        <v>0</v>
      </c>
      <c r="AH234" s="217"/>
      <c r="AI234" s="220"/>
      <c r="AJ234" s="220"/>
      <c r="AK234" s="17">
        <f t="shared" si="120"/>
        <v>0</v>
      </c>
      <c r="AL234" s="23">
        <f t="shared" si="120"/>
        <v>0</v>
      </c>
      <c r="AM234" s="4">
        <f t="shared" si="100"/>
        <v>0</v>
      </c>
      <c r="AN234" s="4">
        <v>0</v>
      </c>
      <c r="AO234" s="136">
        <f t="shared" si="101"/>
        <v>0</v>
      </c>
      <c r="AP234" s="17">
        <v>0</v>
      </c>
      <c r="AQ234" s="23">
        <f t="shared" si="102"/>
        <v>0</v>
      </c>
      <c r="AR234" s="17">
        <f t="shared" si="98"/>
        <v>0</v>
      </c>
      <c r="AS234" s="141">
        <f t="shared" si="103"/>
        <v>0</v>
      </c>
      <c r="AT234" s="158">
        <f t="shared" ref="AT234:AT235" si="121">100%-AK234</f>
        <v>1</v>
      </c>
      <c r="AU234" s="146">
        <f t="shared" si="104"/>
        <v>85900</v>
      </c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</row>
    <row r="235" spans="1:59" ht="15" customHeight="1">
      <c r="A235" s="50">
        <v>2</v>
      </c>
      <c r="B235" s="24" t="s">
        <v>161</v>
      </c>
      <c r="C235" s="55"/>
      <c r="D235" s="28">
        <f>E235/$C233</f>
        <v>0.25347795331289791</v>
      </c>
      <c r="E235" s="27">
        <v>215000</v>
      </c>
      <c r="F235" s="28"/>
      <c r="G235" s="27">
        <f t="shared" si="115"/>
        <v>0</v>
      </c>
      <c r="H235" s="28"/>
      <c r="I235" s="27">
        <f t="shared" ref="I235:I236" si="122">+H235*$E235</f>
        <v>0</v>
      </c>
      <c r="J235" s="28"/>
      <c r="K235" s="27">
        <f t="shared" si="92"/>
        <v>0</v>
      </c>
      <c r="L235" s="28"/>
      <c r="M235" s="27">
        <f t="shared" si="32"/>
        <v>0</v>
      </c>
      <c r="N235" s="28">
        <v>1</v>
      </c>
      <c r="O235" s="27">
        <f t="shared" si="93"/>
        <v>215000</v>
      </c>
      <c r="P235" s="28"/>
      <c r="Q235" s="27">
        <f t="shared" si="20"/>
        <v>0</v>
      </c>
      <c r="R235" s="28"/>
      <c r="S235" s="27">
        <f t="shared" si="118"/>
        <v>0</v>
      </c>
      <c r="T235" s="28"/>
      <c r="U235" s="27">
        <f t="shared" si="27"/>
        <v>0</v>
      </c>
      <c r="V235" s="28"/>
      <c r="W235" s="27">
        <f t="shared" si="119"/>
        <v>0</v>
      </c>
      <c r="X235" s="28"/>
      <c r="Y235" s="27">
        <f t="shared" si="67"/>
        <v>0</v>
      </c>
      <c r="Z235" s="28"/>
      <c r="AA235" s="27">
        <f t="shared" si="113"/>
        <v>0</v>
      </c>
      <c r="AB235" s="28"/>
      <c r="AC235" s="27">
        <f t="shared" si="29"/>
        <v>0</v>
      </c>
      <c r="AD235" s="28"/>
      <c r="AE235" s="27">
        <f t="shared" si="114"/>
        <v>0</v>
      </c>
      <c r="AF235" s="28"/>
      <c r="AG235" s="30">
        <f t="shared" si="33"/>
        <v>0</v>
      </c>
      <c r="AH235" s="217"/>
      <c r="AI235" s="220"/>
      <c r="AJ235" s="220"/>
      <c r="AK235" s="17">
        <f t="shared" si="120"/>
        <v>0</v>
      </c>
      <c r="AL235" s="23">
        <f t="shared" si="120"/>
        <v>0</v>
      </c>
      <c r="AM235" s="4">
        <f t="shared" si="100"/>
        <v>0</v>
      </c>
      <c r="AN235" s="4">
        <v>0</v>
      </c>
      <c r="AO235" s="136">
        <f t="shared" si="101"/>
        <v>0</v>
      </c>
      <c r="AP235" s="17">
        <v>0</v>
      </c>
      <c r="AQ235" s="23">
        <f t="shared" si="102"/>
        <v>0</v>
      </c>
      <c r="AR235" s="17">
        <f t="shared" si="98"/>
        <v>0</v>
      </c>
      <c r="AS235" s="141">
        <f t="shared" si="103"/>
        <v>0</v>
      </c>
      <c r="AT235" s="158">
        <f t="shared" si="121"/>
        <v>1</v>
      </c>
      <c r="AU235" s="146">
        <f t="shared" si="104"/>
        <v>215000</v>
      </c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</row>
    <row r="236" spans="1:59" ht="15" customHeight="1">
      <c r="A236" s="50">
        <v>3</v>
      </c>
      <c r="B236" s="24" t="s">
        <v>162</v>
      </c>
      <c r="C236" s="55"/>
      <c r="D236" s="28">
        <f>E236/$C233</f>
        <v>0.30063664230134401</v>
      </c>
      <c r="E236" s="27">
        <v>255000</v>
      </c>
      <c r="F236" s="28"/>
      <c r="G236" s="27">
        <f t="shared" si="115"/>
        <v>0</v>
      </c>
      <c r="H236" s="28"/>
      <c r="I236" s="27">
        <f t="shared" si="122"/>
        <v>0</v>
      </c>
      <c r="J236" s="28"/>
      <c r="K236" s="27">
        <f t="shared" si="92"/>
        <v>0</v>
      </c>
      <c r="L236" s="28"/>
      <c r="M236" s="27">
        <f t="shared" si="32"/>
        <v>0</v>
      </c>
      <c r="N236" s="28">
        <v>1</v>
      </c>
      <c r="O236" s="27">
        <f t="shared" si="93"/>
        <v>255000</v>
      </c>
      <c r="P236" s="28"/>
      <c r="Q236" s="27">
        <f t="shared" si="20"/>
        <v>0</v>
      </c>
      <c r="R236" s="28"/>
      <c r="S236" s="27">
        <f t="shared" si="118"/>
        <v>0</v>
      </c>
      <c r="T236" s="28"/>
      <c r="U236" s="27">
        <f t="shared" si="27"/>
        <v>0</v>
      </c>
      <c r="V236" s="28"/>
      <c r="W236" s="27">
        <f t="shared" si="119"/>
        <v>0</v>
      </c>
      <c r="X236" s="28"/>
      <c r="Y236" s="27">
        <f t="shared" si="67"/>
        <v>0</v>
      </c>
      <c r="Z236" s="28"/>
      <c r="AA236" s="27">
        <f t="shared" si="113"/>
        <v>0</v>
      </c>
      <c r="AB236" s="28"/>
      <c r="AC236" s="27">
        <f t="shared" si="29"/>
        <v>0</v>
      </c>
      <c r="AD236" s="28"/>
      <c r="AE236" s="27">
        <f t="shared" si="114"/>
        <v>0</v>
      </c>
      <c r="AF236" s="28"/>
      <c r="AG236" s="30">
        <f t="shared" si="33"/>
        <v>0</v>
      </c>
      <c r="AH236" s="217"/>
      <c r="AI236" s="220"/>
      <c r="AJ236" s="220"/>
      <c r="AK236" s="17">
        <f t="shared" si="120"/>
        <v>0</v>
      </c>
      <c r="AL236" s="23">
        <f t="shared" si="120"/>
        <v>0</v>
      </c>
      <c r="AM236" s="4">
        <f t="shared" si="100"/>
        <v>0</v>
      </c>
      <c r="AN236" s="4">
        <v>0</v>
      </c>
      <c r="AO236" s="136">
        <f t="shared" si="101"/>
        <v>0</v>
      </c>
      <c r="AP236" s="17">
        <v>0</v>
      </c>
      <c r="AQ236" s="23">
        <f t="shared" si="102"/>
        <v>0</v>
      </c>
      <c r="AR236" s="17">
        <f t="shared" si="98"/>
        <v>0</v>
      </c>
      <c r="AS236" s="141">
        <f t="shared" si="103"/>
        <v>0</v>
      </c>
      <c r="AT236" s="158"/>
      <c r="AU236" s="146">
        <f t="shared" si="104"/>
        <v>0</v>
      </c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</row>
    <row r="237" spans="1:59" ht="15" customHeight="1">
      <c r="A237" s="50">
        <v>4</v>
      </c>
      <c r="B237" s="24" t="s">
        <v>163</v>
      </c>
      <c r="C237" s="55"/>
      <c r="D237" s="28">
        <f>E237/$C233</f>
        <v>0.25347795331289791</v>
      </c>
      <c r="E237" s="27">
        <v>215000</v>
      </c>
      <c r="F237" s="28"/>
      <c r="G237" s="27">
        <f t="shared" si="115"/>
        <v>0</v>
      </c>
      <c r="H237" s="28"/>
      <c r="I237" s="27"/>
      <c r="J237" s="28"/>
      <c r="K237" s="27">
        <f t="shared" si="92"/>
        <v>0</v>
      </c>
      <c r="L237" s="28"/>
      <c r="M237" s="27">
        <f t="shared" si="32"/>
        <v>0</v>
      </c>
      <c r="N237" s="28"/>
      <c r="O237" s="27">
        <f t="shared" si="93"/>
        <v>0</v>
      </c>
      <c r="P237" s="28"/>
      <c r="Q237" s="27">
        <f t="shared" si="20"/>
        <v>0</v>
      </c>
      <c r="R237" s="28">
        <v>1</v>
      </c>
      <c r="S237" s="27">
        <f t="shared" si="118"/>
        <v>215000</v>
      </c>
      <c r="T237" s="28"/>
      <c r="U237" s="27">
        <f t="shared" si="27"/>
        <v>0</v>
      </c>
      <c r="V237" s="28"/>
      <c r="W237" s="27">
        <f t="shared" si="119"/>
        <v>0</v>
      </c>
      <c r="X237" s="28"/>
      <c r="Y237" s="27">
        <f t="shared" si="67"/>
        <v>0</v>
      </c>
      <c r="Z237" s="28"/>
      <c r="AA237" s="27">
        <f t="shared" si="113"/>
        <v>0</v>
      </c>
      <c r="AB237" s="28"/>
      <c r="AC237" s="27">
        <f t="shared" si="29"/>
        <v>0</v>
      </c>
      <c r="AD237" s="28"/>
      <c r="AE237" s="27">
        <f t="shared" si="114"/>
        <v>0</v>
      </c>
      <c r="AF237" s="28"/>
      <c r="AG237" s="30">
        <f t="shared" si="33"/>
        <v>0</v>
      </c>
      <c r="AH237" s="217"/>
      <c r="AI237" s="220"/>
      <c r="AJ237" s="220"/>
      <c r="AK237" s="17">
        <f t="shared" si="120"/>
        <v>0</v>
      </c>
      <c r="AL237" s="23">
        <f t="shared" si="120"/>
        <v>0</v>
      </c>
      <c r="AM237" s="4">
        <f t="shared" si="100"/>
        <v>0</v>
      </c>
      <c r="AN237" s="4">
        <v>0</v>
      </c>
      <c r="AO237" s="136">
        <f t="shared" si="101"/>
        <v>0</v>
      </c>
      <c r="AP237" s="17">
        <v>0</v>
      </c>
      <c r="AQ237" s="23">
        <f t="shared" si="102"/>
        <v>0</v>
      </c>
      <c r="AR237" s="17">
        <f t="shared" si="98"/>
        <v>0</v>
      </c>
      <c r="AS237" s="141">
        <f t="shared" si="103"/>
        <v>0</v>
      </c>
      <c r="AT237" s="158"/>
      <c r="AU237" s="146">
        <f t="shared" si="104"/>
        <v>0</v>
      </c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</row>
    <row r="238" spans="1:59" ht="15" customHeight="1">
      <c r="A238" s="50">
        <v>5</v>
      </c>
      <c r="B238" s="24" t="s">
        <v>44</v>
      </c>
      <c r="C238" s="55"/>
      <c r="D238" s="28">
        <f>E238/$C233</f>
        <v>9.1134166470172126E-2</v>
      </c>
      <c r="E238" s="27">
        <v>77300</v>
      </c>
      <c r="F238" s="28"/>
      <c r="G238" s="27">
        <f t="shared" si="115"/>
        <v>0</v>
      </c>
      <c r="H238" s="28"/>
      <c r="I238" s="27"/>
      <c r="J238" s="28"/>
      <c r="K238" s="27">
        <f t="shared" si="92"/>
        <v>0</v>
      </c>
      <c r="L238" s="28"/>
      <c r="M238" s="27">
        <f t="shared" si="32"/>
        <v>0</v>
      </c>
      <c r="N238" s="28"/>
      <c r="O238" s="27">
        <f t="shared" si="93"/>
        <v>0</v>
      </c>
      <c r="P238" s="28"/>
      <c r="Q238" s="27">
        <f t="shared" si="20"/>
        <v>0</v>
      </c>
      <c r="R238" s="28"/>
      <c r="S238" s="27">
        <f t="shared" si="118"/>
        <v>0</v>
      </c>
      <c r="T238" s="28"/>
      <c r="U238" s="27">
        <f t="shared" si="27"/>
        <v>0</v>
      </c>
      <c r="V238" s="28"/>
      <c r="W238" s="27">
        <f t="shared" si="119"/>
        <v>0</v>
      </c>
      <c r="X238" s="28"/>
      <c r="Y238" s="27">
        <f t="shared" si="67"/>
        <v>0</v>
      </c>
      <c r="Z238" s="28">
        <v>1</v>
      </c>
      <c r="AA238" s="27">
        <f t="shared" si="113"/>
        <v>77300</v>
      </c>
      <c r="AB238" s="28"/>
      <c r="AC238" s="27">
        <f t="shared" si="29"/>
        <v>0</v>
      </c>
      <c r="AD238" s="28"/>
      <c r="AE238" s="27">
        <f t="shared" si="114"/>
        <v>0</v>
      </c>
      <c r="AF238" s="28"/>
      <c r="AG238" s="30">
        <f t="shared" si="33"/>
        <v>0</v>
      </c>
      <c r="AH238" s="217"/>
      <c r="AI238" s="220"/>
      <c r="AJ238" s="220"/>
      <c r="AK238" s="17">
        <f t="shared" si="120"/>
        <v>0</v>
      </c>
      <c r="AL238" s="23">
        <f t="shared" si="120"/>
        <v>0</v>
      </c>
      <c r="AM238" s="4">
        <f t="shared" si="100"/>
        <v>0</v>
      </c>
      <c r="AN238" s="4">
        <v>0</v>
      </c>
      <c r="AO238" s="136">
        <f t="shared" si="101"/>
        <v>0</v>
      </c>
      <c r="AP238" s="17">
        <v>0</v>
      </c>
      <c r="AQ238" s="23">
        <f t="shared" si="102"/>
        <v>0</v>
      </c>
      <c r="AR238" s="17">
        <f t="shared" si="98"/>
        <v>0</v>
      </c>
      <c r="AS238" s="141">
        <f t="shared" si="103"/>
        <v>0</v>
      </c>
      <c r="AT238" s="158"/>
      <c r="AU238" s="146">
        <f t="shared" si="104"/>
        <v>0</v>
      </c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</row>
    <row r="239" spans="1:59" ht="15" customHeight="1">
      <c r="A239" s="66" t="s">
        <v>166</v>
      </c>
      <c r="B239" s="67" t="s">
        <v>167</v>
      </c>
      <c r="C239" s="84">
        <v>680845</v>
      </c>
      <c r="D239" s="85"/>
      <c r="E239" s="70"/>
      <c r="F239" s="71"/>
      <c r="G239" s="72">
        <f t="shared" si="115"/>
        <v>0</v>
      </c>
      <c r="H239" s="71"/>
      <c r="I239" s="72"/>
      <c r="J239" s="72"/>
      <c r="K239" s="72">
        <f t="shared" si="92"/>
        <v>0</v>
      </c>
      <c r="L239" s="71"/>
      <c r="M239" s="72">
        <f t="shared" si="32"/>
        <v>0</v>
      </c>
      <c r="N239" s="72"/>
      <c r="O239" s="72">
        <f t="shared" si="93"/>
        <v>0</v>
      </c>
      <c r="P239" s="71"/>
      <c r="Q239" s="72">
        <f t="shared" si="20"/>
        <v>0</v>
      </c>
      <c r="R239" s="72"/>
      <c r="S239" s="72">
        <f t="shared" si="118"/>
        <v>0</v>
      </c>
      <c r="T239" s="71"/>
      <c r="U239" s="72">
        <f t="shared" si="27"/>
        <v>0</v>
      </c>
      <c r="V239" s="72"/>
      <c r="W239" s="72">
        <f t="shared" si="119"/>
        <v>0</v>
      </c>
      <c r="X239" s="71"/>
      <c r="Y239" s="72">
        <f t="shared" si="67"/>
        <v>0</v>
      </c>
      <c r="Z239" s="72"/>
      <c r="AA239" s="72">
        <f t="shared" si="113"/>
        <v>0</v>
      </c>
      <c r="AB239" s="71"/>
      <c r="AC239" s="72">
        <f t="shared" si="29"/>
        <v>0</v>
      </c>
      <c r="AD239" s="72"/>
      <c r="AE239" s="72">
        <f t="shared" si="114"/>
        <v>0</v>
      </c>
      <c r="AF239" s="71"/>
      <c r="AG239" s="73">
        <f t="shared" si="33"/>
        <v>0</v>
      </c>
      <c r="AH239" s="217"/>
      <c r="AI239" s="220"/>
      <c r="AJ239" s="220"/>
      <c r="AK239" s="17">
        <f t="shared" si="120"/>
        <v>0</v>
      </c>
      <c r="AL239" s="23">
        <f t="shared" si="120"/>
        <v>0</v>
      </c>
      <c r="AM239" s="4">
        <f t="shared" si="100"/>
        <v>0</v>
      </c>
      <c r="AN239" s="4">
        <v>0</v>
      </c>
      <c r="AO239" s="136">
        <f t="shared" si="101"/>
        <v>0</v>
      </c>
      <c r="AP239" s="17">
        <v>0</v>
      </c>
      <c r="AQ239" s="23">
        <f t="shared" si="102"/>
        <v>0</v>
      </c>
      <c r="AR239" s="17">
        <f t="shared" si="98"/>
        <v>0</v>
      </c>
      <c r="AS239" s="141">
        <f t="shared" si="103"/>
        <v>0</v>
      </c>
      <c r="AT239" s="158"/>
      <c r="AU239" s="146">
        <f t="shared" si="104"/>
        <v>0</v>
      </c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</row>
    <row r="240" spans="1:59" ht="15" customHeight="1">
      <c r="A240" s="50">
        <v>1</v>
      </c>
      <c r="B240" s="24" t="s">
        <v>160</v>
      </c>
      <c r="C240" s="55"/>
      <c r="D240" s="28">
        <f>E240/C239</f>
        <v>0.10090402367646087</v>
      </c>
      <c r="E240" s="27">
        <v>68700</v>
      </c>
      <c r="F240" s="28"/>
      <c r="G240" s="27">
        <f t="shared" si="115"/>
        <v>0</v>
      </c>
      <c r="H240" s="28"/>
      <c r="I240" s="27"/>
      <c r="J240" s="28"/>
      <c r="K240" s="27">
        <f t="shared" si="92"/>
        <v>0</v>
      </c>
      <c r="L240" s="28"/>
      <c r="M240" s="27">
        <f t="shared" si="32"/>
        <v>0</v>
      </c>
      <c r="N240" s="28"/>
      <c r="O240" s="27">
        <f t="shared" si="93"/>
        <v>0</v>
      </c>
      <c r="P240" s="28"/>
      <c r="Q240" s="27">
        <f t="shared" si="20"/>
        <v>0</v>
      </c>
      <c r="R240" s="28">
        <v>1</v>
      </c>
      <c r="S240" s="27">
        <f t="shared" si="118"/>
        <v>68700</v>
      </c>
      <c r="T240" s="28"/>
      <c r="U240" s="27">
        <f t="shared" si="27"/>
        <v>0</v>
      </c>
      <c r="V240" s="28"/>
      <c r="W240" s="27">
        <f t="shared" si="119"/>
        <v>0</v>
      </c>
      <c r="X240" s="28"/>
      <c r="Y240" s="27">
        <f t="shared" si="67"/>
        <v>0</v>
      </c>
      <c r="Z240" s="28"/>
      <c r="AA240" s="27">
        <f t="shared" si="113"/>
        <v>0</v>
      </c>
      <c r="AB240" s="28"/>
      <c r="AC240" s="27">
        <f t="shared" si="29"/>
        <v>0</v>
      </c>
      <c r="AD240" s="28"/>
      <c r="AE240" s="27">
        <f t="shared" si="114"/>
        <v>0</v>
      </c>
      <c r="AF240" s="28"/>
      <c r="AG240" s="30">
        <f t="shared" si="33"/>
        <v>0</v>
      </c>
      <c r="AH240" s="217"/>
      <c r="AI240" s="220"/>
      <c r="AJ240" s="220"/>
      <c r="AK240" s="17">
        <f t="shared" si="120"/>
        <v>0</v>
      </c>
      <c r="AL240" s="23">
        <f t="shared" si="120"/>
        <v>0</v>
      </c>
      <c r="AM240" s="4">
        <f t="shared" si="100"/>
        <v>0</v>
      </c>
      <c r="AN240" s="4">
        <v>0</v>
      </c>
      <c r="AO240" s="136">
        <f t="shared" si="101"/>
        <v>0</v>
      </c>
      <c r="AP240" s="17">
        <v>0</v>
      </c>
      <c r="AQ240" s="23">
        <f t="shared" si="102"/>
        <v>0</v>
      </c>
      <c r="AR240" s="17">
        <f t="shared" si="98"/>
        <v>0</v>
      </c>
      <c r="AS240" s="141">
        <f t="shared" si="103"/>
        <v>0</v>
      </c>
      <c r="AT240" s="158">
        <f t="shared" ref="AT240:AT241" si="123">100%-AK240</f>
        <v>1</v>
      </c>
      <c r="AU240" s="146">
        <f t="shared" si="104"/>
        <v>68700</v>
      </c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</row>
    <row r="241" spans="1:59" ht="15" customHeight="1">
      <c r="A241" s="50">
        <v>2</v>
      </c>
      <c r="B241" s="24" t="s">
        <v>161</v>
      </c>
      <c r="C241" s="55"/>
      <c r="D241" s="28">
        <f>E241/C239</f>
        <v>0.25248037365332787</v>
      </c>
      <c r="E241" s="27">
        <v>171900</v>
      </c>
      <c r="F241" s="28"/>
      <c r="G241" s="27">
        <f t="shared" si="115"/>
        <v>0</v>
      </c>
      <c r="H241" s="28"/>
      <c r="I241" s="27">
        <f t="shared" ref="I241:I244" si="124">+H241*$E241</f>
        <v>0</v>
      </c>
      <c r="J241" s="28"/>
      <c r="K241" s="27">
        <f t="shared" si="92"/>
        <v>0</v>
      </c>
      <c r="L241" s="28"/>
      <c r="M241" s="27">
        <f t="shared" si="32"/>
        <v>0</v>
      </c>
      <c r="N241" s="28"/>
      <c r="O241" s="27">
        <f t="shared" si="93"/>
        <v>0</v>
      </c>
      <c r="P241" s="28"/>
      <c r="Q241" s="27">
        <f t="shared" si="20"/>
        <v>0</v>
      </c>
      <c r="R241" s="28">
        <v>1</v>
      </c>
      <c r="S241" s="27">
        <f t="shared" si="118"/>
        <v>171900</v>
      </c>
      <c r="T241" s="28"/>
      <c r="U241" s="27">
        <f t="shared" si="27"/>
        <v>0</v>
      </c>
      <c r="V241" s="28"/>
      <c r="W241" s="27">
        <f t="shared" si="119"/>
        <v>0</v>
      </c>
      <c r="X241" s="28"/>
      <c r="Y241" s="27">
        <f t="shared" si="67"/>
        <v>0</v>
      </c>
      <c r="Z241" s="28"/>
      <c r="AA241" s="27">
        <f t="shared" si="113"/>
        <v>0</v>
      </c>
      <c r="AB241" s="28"/>
      <c r="AC241" s="27">
        <f t="shared" si="29"/>
        <v>0</v>
      </c>
      <c r="AD241" s="28"/>
      <c r="AE241" s="27">
        <f t="shared" si="114"/>
        <v>0</v>
      </c>
      <c r="AF241" s="28"/>
      <c r="AG241" s="30">
        <f t="shared" si="33"/>
        <v>0</v>
      </c>
      <c r="AH241" s="217"/>
      <c r="AI241" s="220"/>
      <c r="AJ241" s="220"/>
      <c r="AK241" s="17">
        <f t="shared" si="120"/>
        <v>0</v>
      </c>
      <c r="AL241" s="23">
        <f t="shared" si="120"/>
        <v>0</v>
      </c>
      <c r="AM241" s="4">
        <f t="shared" si="100"/>
        <v>0</v>
      </c>
      <c r="AN241" s="4">
        <v>0</v>
      </c>
      <c r="AO241" s="136">
        <f t="shared" si="101"/>
        <v>0</v>
      </c>
      <c r="AP241" s="17">
        <v>0</v>
      </c>
      <c r="AQ241" s="23">
        <f t="shared" si="102"/>
        <v>0</v>
      </c>
      <c r="AR241" s="17">
        <f t="shared" si="98"/>
        <v>0</v>
      </c>
      <c r="AS241" s="141">
        <f t="shared" si="103"/>
        <v>0</v>
      </c>
      <c r="AT241" s="158">
        <f t="shared" si="123"/>
        <v>1</v>
      </c>
      <c r="AU241" s="146">
        <f t="shared" si="104"/>
        <v>171900</v>
      </c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</row>
    <row r="242" spans="1:59" ht="15" customHeight="1">
      <c r="A242" s="50">
        <v>3</v>
      </c>
      <c r="B242" s="24" t="s">
        <v>162</v>
      </c>
      <c r="C242" s="55"/>
      <c r="D242" s="28">
        <f>E242/C239</f>
        <v>0.30310863706129881</v>
      </c>
      <c r="E242" s="27">
        <v>206370</v>
      </c>
      <c r="F242" s="28"/>
      <c r="G242" s="27">
        <f t="shared" si="115"/>
        <v>0</v>
      </c>
      <c r="H242" s="28"/>
      <c r="I242" s="27">
        <f t="shared" si="124"/>
        <v>0</v>
      </c>
      <c r="J242" s="28"/>
      <c r="K242" s="27">
        <f t="shared" si="92"/>
        <v>0</v>
      </c>
      <c r="L242" s="28"/>
      <c r="M242" s="27">
        <f t="shared" si="32"/>
        <v>0</v>
      </c>
      <c r="N242" s="28"/>
      <c r="O242" s="27">
        <f t="shared" si="93"/>
        <v>0</v>
      </c>
      <c r="P242" s="28"/>
      <c r="Q242" s="27">
        <f t="shared" si="20"/>
        <v>0</v>
      </c>
      <c r="R242" s="28">
        <v>1</v>
      </c>
      <c r="S242" s="27">
        <f t="shared" si="118"/>
        <v>206370</v>
      </c>
      <c r="T242" s="28"/>
      <c r="U242" s="27">
        <f t="shared" si="27"/>
        <v>0</v>
      </c>
      <c r="V242" s="28"/>
      <c r="W242" s="27">
        <f t="shared" si="119"/>
        <v>0</v>
      </c>
      <c r="X242" s="28"/>
      <c r="Y242" s="27">
        <f t="shared" si="67"/>
        <v>0</v>
      </c>
      <c r="Z242" s="28"/>
      <c r="AA242" s="27">
        <f t="shared" si="113"/>
        <v>0</v>
      </c>
      <c r="AB242" s="28"/>
      <c r="AC242" s="27">
        <f t="shared" si="29"/>
        <v>0</v>
      </c>
      <c r="AD242" s="28"/>
      <c r="AE242" s="27">
        <f t="shared" si="114"/>
        <v>0</v>
      </c>
      <c r="AF242" s="28"/>
      <c r="AG242" s="30">
        <f t="shared" si="33"/>
        <v>0</v>
      </c>
      <c r="AH242" s="217"/>
      <c r="AI242" s="220"/>
      <c r="AJ242" s="220"/>
      <c r="AK242" s="17">
        <f t="shared" si="120"/>
        <v>0</v>
      </c>
      <c r="AL242" s="23">
        <f t="shared" si="120"/>
        <v>0</v>
      </c>
      <c r="AM242" s="4">
        <f t="shared" si="100"/>
        <v>0</v>
      </c>
      <c r="AN242" s="4">
        <v>0</v>
      </c>
      <c r="AO242" s="136">
        <f t="shared" si="101"/>
        <v>0</v>
      </c>
      <c r="AP242" s="17">
        <v>0</v>
      </c>
      <c r="AQ242" s="23">
        <f t="shared" si="102"/>
        <v>0</v>
      </c>
      <c r="AR242" s="17">
        <f t="shared" si="98"/>
        <v>0</v>
      </c>
      <c r="AS242" s="141">
        <f t="shared" si="103"/>
        <v>0</v>
      </c>
      <c r="AT242" s="158"/>
      <c r="AU242" s="146">
        <f t="shared" si="104"/>
        <v>0</v>
      </c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</row>
    <row r="243" spans="1:59" ht="15" customHeight="1">
      <c r="A243" s="50">
        <v>4</v>
      </c>
      <c r="B243" s="24" t="s">
        <v>163</v>
      </c>
      <c r="C243" s="55"/>
      <c r="D243" s="28">
        <f>E243/C239</f>
        <v>0.25259053088441569</v>
      </c>
      <c r="E243" s="27">
        <v>171975</v>
      </c>
      <c r="F243" s="28"/>
      <c r="G243" s="27">
        <f t="shared" si="115"/>
        <v>0</v>
      </c>
      <c r="H243" s="28"/>
      <c r="I243" s="27">
        <f t="shared" si="124"/>
        <v>0</v>
      </c>
      <c r="J243" s="28"/>
      <c r="K243" s="27">
        <f t="shared" si="92"/>
        <v>0</v>
      </c>
      <c r="L243" s="28"/>
      <c r="M243" s="27">
        <f t="shared" si="32"/>
        <v>0</v>
      </c>
      <c r="N243" s="28"/>
      <c r="O243" s="27">
        <f t="shared" si="93"/>
        <v>0</v>
      </c>
      <c r="P243" s="28"/>
      <c r="Q243" s="27">
        <f t="shared" si="20"/>
        <v>0</v>
      </c>
      <c r="R243" s="28">
        <v>1</v>
      </c>
      <c r="S243" s="27">
        <f t="shared" si="118"/>
        <v>171975</v>
      </c>
      <c r="T243" s="28"/>
      <c r="U243" s="27">
        <f t="shared" si="27"/>
        <v>0</v>
      </c>
      <c r="V243" s="28"/>
      <c r="W243" s="27">
        <f t="shared" si="119"/>
        <v>0</v>
      </c>
      <c r="X243" s="28"/>
      <c r="Y243" s="27">
        <f t="shared" si="67"/>
        <v>0</v>
      </c>
      <c r="Z243" s="28"/>
      <c r="AA243" s="27">
        <f t="shared" si="113"/>
        <v>0</v>
      </c>
      <c r="AB243" s="28"/>
      <c r="AC243" s="27">
        <f t="shared" si="29"/>
        <v>0</v>
      </c>
      <c r="AD243" s="28"/>
      <c r="AE243" s="27">
        <f t="shared" si="114"/>
        <v>0</v>
      </c>
      <c r="AF243" s="28"/>
      <c r="AG243" s="30">
        <f t="shared" si="33"/>
        <v>0</v>
      </c>
      <c r="AH243" s="217"/>
      <c r="AI243" s="220"/>
      <c r="AJ243" s="220"/>
      <c r="AK243" s="17">
        <f t="shared" si="120"/>
        <v>0</v>
      </c>
      <c r="AL243" s="23">
        <f t="shared" si="120"/>
        <v>0</v>
      </c>
      <c r="AM243" s="4">
        <f t="shared" si="100"/>
        <v>0</v>
      </c>
      <c r="AN243" s="4">
        <v>0</v>
      </c>
      <c r="AO243" s="136">
        <f t="shared" si="101"/>
        <v>0</v>
      </c>
      <c r="AP243" s="17">
        <v>0</v>
      </c>
      <c r="AQ243" s="23">
        <f t="shared" si="102"/>
        <v>0</v>
      </c>
      <c r="AR243" s="17">
        <f t="shared" si="98"/>
        <v>0</v>
      </c>
      <c r="AS243" s="141">
        <f t="shared" si="103"/>
        <v>0</v>
      </c>
      <c r="AT243" s="158"/>
      <c r="AU243" s="146">
        <f t="shared" si="104"/>
        <v>0</v>
      </c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</row>
    <row r="244" spans="1:59" ht="15" customHeight="1">
      <c r="A244" s="50">
        <v>5</v>
      </c>
      <c r="B244" s="24" t="s">
        <v>44</v>
      </c>
      <c r="C244" s="55"/>
      <c r="D244" s="28">
        <f>E244/C239</f>
        <v>9.0916434724496759E-2</v>
      </c>
      <c r="E244" s="27">
        <v>61900</v>
      </c>
      <c r="F244" s="28"/>
      <c r="G244" s="27">
        <f t="shared" si="115"/>
        <v>0</v>
      </c>
      <c r="H244" s="28"/>
      <c r="I244" s="27">
        <f t="shared" si="124"/>
        <v>0</v>
      </c>
      <c r="J244" s="28"/>
      <c r="K244" s="27">
        <f t="shared" si="92"/>
        <v>0</v>
      </c>
      <c r="L244" s="28"/>
      <c r="M244" s="27">
        <f t="shared" si="32"/>
        <v>0</v>
      </c>
      <c r="N244" s="28"/>
      <c r="O244" s="27">
        <f t="shared" si="93"/>
        <v>0</v>
      </c>
      <c r="P244" s="28"/>
      <c r="Q244" s="27">
        <f t="shared" si="20"/>
        <v>0</v>
      </c>
      <c r="R244" s="28"/>
      <c r="S244" s="27">
        <f t="shared" si="118"/>
        <v>0</v>
      </c>
      <c r="T244" s="28"/>
      <c r="U244" s="27">
        <f t="shared" si="27"/>
        <v>0</v>
      </c>
      <c r="V244" s="28"/>
      <c r="W244" s="27">
        <f t="shared" si="119"/>
        <v>0</v>
      </c>
      <c r="X244" s="28"/>
      <c r="Y244" s="27">
        <f t="shared" si="67"/>
        <v>0</v>
      </c>
      <c r="Z244" s="28">
        <v>1</v>
      </c>
      <c r="AA244" s="27">
        <f t="shared" si="113"/>
        <v>61900</v>
      </c>
      <c r="AB244" s="28"/>
      <c r="AC244" s="27">
        <f t="shared" si="29"/>
        <v>0</v>
      </c>
      <c r="AD244" s="28"/>
      <c r="AE244" s="27">
        <f t="shared" si="114"/>
        <v>0</v>
      </c>
      <c r="AF244" s="28"/>
      <c r="AG244" s="30">
        <f t="shared" si="33"/>
        <v>0</v>
      </c>
      <c r="AH244" s="217"/>
      <c r="AI244" s="220"/>
      <c r="AJ244" s="220"/>
      <c r="AK244" s="17">
        <f t="shared" si="120"/>
        <v>0</v>
      </c>
      <c r="AL244" s="23">
        <f t="shared" si="120"/>
        <v>0</v>
      </c>
      <c r="AM244" s="4">
        <f t="shared" si="100"/>
        <v>0</v>
      </c>
      <c r="AN244" s="4">
        <v>0</v>
      </c>
      <c r="AO244" s="136">
        <f t="shared" si="101"/>
        <v>0</v>
      </c>
      <c r="AP244" s="17">
        <v>0</v>
      </c>
      <c r="AQ244" s="23">
        <f t="shared" si="102"/>
        <v>0</v>
      </c>
      <c r="AR244" s="17">
        <f t="shared" si="98"/>
        <v>0</v>
      </c>
      <c r="AS244" s="141">
        <f t="shared" si="103"/>
        <v>0</v>
      </c>
      <c r="AT244" s="158"/>
      <c r="AU244" s="146">
        <f t="shared" si="104"/>
        <v>0</v>
      </c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</row>
    <row r="245" spans="1:59" ht="15" customHeight="1">
      <c r="A245" s="66" t="s">
        <v>168</v>
      </c>
      <c r="B245" s="67" t="s">
        <v>169</v>
      </c>
      <c r="C245" s="84">
        <v>698620</v>
      </c>
      <c r="D245" s="85"/>
      <c r="E245" s="70"/>
      <c r="F245" s="71"/>
      <c r="G245" s="72">
        <f t="shared" si="115"/>
        <v>0</v>
      </c>
      <c r="H245" s="71"/>
      <c r="I245" s="72"/>
      <c r="J245" s="72"/>
      <c r="K245" s="72">
        <f t="shared" si="92"/>
        <v>0</v>
      </c>
      <c r="L245" s="71"/>
      <c r="M245" s="72">
        <f t="shared" si="32"/>
        <v>0</v>
      </c>
      <c r="N245" s="72"/>
      <c r="O245" s="72">
        <f t="shared" si="93"/>
        <v>0</v>
      </c>
      <c r="P245" s="71"/>
      <c r="Q245" s="72">
        <f t="shared" si="20"/>
        <v>0</v>
      </c>
      <c r="R245" s="72"/>
      <c r="S245" s="72">
        <f t="shared" si="118"/>
        <v>0</v>
      </c>
      <c r="T245" s="71"/>
      <c r="U245" s="72">
        <f t="shared" si="27"/>
        <v>0</v>
      </c>
      <c r="V245" s="72"/>
      <c r="W245" s="72">
        <f t="shared" si="119"/>
        <v>0</v>
      </c>
      <c r="X245" s="71"/>
      <c r="Y245" s="72">
        <f t="shared" si="67"/>
        <v>0</v>
      </c>
      <c r="Z245" s="72"/>
      <c r="AA245" s="72">
        <f t="shared" si="113"/>
        <v>0</v>
      </c>
      <c r="AB245" s="71"/>
      <c r="AC245" s="72">
        <f t="shared" si="29"/>
        <v>0</v>
      </c>
      <c r="AD245" s="72"/>
      <c r="AE245" s="72">
        <f t="shared" si="114"/>
        <v>0</v>
      </c>
      <c r="AF245" s="71"/>
      <c r="AG245" s="73">
        <f t="shared" si="33"/>
        <v>0</v>
      </c>
      <c r="AH245" s="217"/>
      <c r="AI245" s="220"/>
      <c r="AJ245" s="220"/>
      <c r="AK245" s="17">
        <f t="shared" si="120"/>
        <v>0</v>
      </c>
      <c r="AL245" s="23">
        <f t="shared" si="120"/>
        <v>0</v>
      </c>
      <c r="AM245" s="4">
        <f t="shared" si="100"/>
        <v>0</v>
      </c>
      <c r="AN245" s="4">
        <v>0</v>
      </c>
      <c r="AO245" s="136">
        <f t="shared" si="101"/>
        <v>0</v>
      </c>
      <c r="AP245" s="17">
        <v>0</v>
      </c>
      <c r="AQ245" s="23">
        <f t="shared" si="102"/>
        <v>0</v>
      </c>
      <c r="AR245" s="17">
        <f t="shared" si="98"/>
        <v>0</v>
      </c>
      <c r="AS245" s="141">
        <f t="shared" si="103"/>
        <v>0</v>
      </c>
      <c r="AT245" s="158"/>
      <c r="AU245" s="146">
        <f t="shared" si="104"/>
        <v>0</v>
      </c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</row>
    <row r="246" spans="1:59" ht="15" customHeight="1">
      <c r="A246" s="50">
        <v>1</v>
      </c>
      <c r="B246" s="24" t="s">
        <v>160</v>
      </c>
      <c r="C246" s="55"/>
      <c r="D246" s="28">
        <f>E246/C245</f>
        <v>0.10115656580115084</v>
      </c>
      <c r="E246" s="27">
        <v>70670</v>
      </c>
      <c r="F246" s="28"/>
      <c r="G246" s="27">
        <f t="shared" si="115"/>
        <v>0</v>
      </c>
      <c r="H246" s="28"/>
      <c r="I246" s="27"/>
      <c r="J246" s="28"/>
      <c r="K246" s="27">
        <f t="shared" si="92"/>
        <v>0</v>
      </c>
      <c r="L246" s="28"/>
      <c r="M246" s="27">
        <f t="shared" si="32"/>
        <v>0</v>
      </c>
      <c r="N246" s="28"/>
      <c r="O246" s="27">
        <f t="shared" si="93"/>
        <v>0</v>
      </c>
      <c r="P246" s="28"/>
      <c r="Q246" s="27">
        <f t="shared" si="20"/>
        <v>0</v>
      </c>
      <c r="R246" s="28">
        <v>1</v>
      </c>
      <c r="S246" s="27">
        <f t="shared" si="118"/>
        <v>70670</v>
      </c>
      <c r="T246" s="28"/>
      <c r="U246" s="27">
        <f t="shared" si="27"/>
        <v>0</v>
      </c>
      <c r="V246" s="28"/>
      <c r="W246" s="27">
        <f t="shared" si="119"/>
        <v>0</v>
      </c>
      <c r="X246" s="28"/>
      <c r="Y246" s="27">
        <f t="shared" si="67"/>
        <v>0</v>
      </c>
      <c r="Z246" s="28"/>
      <c r="AA246" s="27">
        <f t="shared" si="113"/>
        <v>0</v>
      </c>
      <c r="AB246" s="28"/>
      <c r="AC246" s="27">
        <f t="shared" si="29"/>
        <v>0</v>
      </c>
      <c r="AD246" s="28"/>
      <c r="AE246" s="27">
        <f t="shared" si="114"/>
        <v>0</v>
      </c>
      <c r="AF246" s="28"/>
      <c r="AG246" s="30">
        <f t="shared" si="33"/>
        <v>0</v>
      </c>
      <c r="AH246" s="217"/>
      <c r="AI246" s="220"/>
      <c r="AJ246" s="220"/>
      <c r="AK246" s="17">
        <f t="shared" si="120"/>
        <v>0</v>
      </c>
      <c r="AL246" s="23">
        <f t="shared" si="120"/>
        <v>0</v>
      </c>
      <c r="AM246" s="4">
        <f t="shared" si="100"/>
        <v>0</v>
      </c>
      <c r="AN246" s="4">
        <v>0</v>
      </c>
      <c r="AO246" s="136">
        <f t="shared" si="101"/>
        <v>0</v>
      </c>
      <c r="AP246" s="17">
        <v>0</v>
      </c>
      <c r="AQ246" s="23">
        <f t="shared" si="102"/>
        <v>0</v>
      </c>
      <c r="AR246" s="17">
        <f t="shared" si="98"/>
        <v>0</v>
      </c>
      <c r="AS246" s="141">
        <f t="shared" si="103"/>
        <v>0</v>
      </c>
      <c r="AT246" s="158">
        <f t="shared" ref="AT246:AT247" si="125">100%-AK246</f>
        <v>1</v>
      </c>
      <c r="AU246" s="146">
        <f t="shared" si="104"/>
        <v>70670</v>
      </c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</row>
    <row r="247" spans="1:59" ht="15" customHeight="1">
      <c r="A247" s="50">
        <v>2</v>
      </c>
      <c r="B247" s="24" t="s">
        <v>161</v>
      </c>
      <c r="C247" s="55"/>
      <c r="D247" s="28">
        <f>E247/C245</f>
        <v>0.25289141450287711</v>
      </c>
      <c r="E247" s="27">
        <v>176675</v>
      </c>
      <c r="F247" s="28"/>
      <c r="G247" s="27">
        <f t="shared" si="115"/>
        <v>0</v>
      </c>
      <c r="H247" s="28"/>
      <c r="I247" s="27">
        <f t="shared" ref="I247:I250" si="126">+H247*$E247</f>
        <v>0</v>
      </c>
      <c r="J247" s="28"/>
      <c r="K247" s="27">
        <f t="shared" si="92"/>
        <v>0</v>
      </c>
      <c r="L247" s="28"/>
      <c r="M247" s="27">
        <f t="shared" si="32"/>
        <v>0</v>
      </c>
      <c r="N247" s="28"/>
      <c r="O247" s="27">
        <f t="shared" si="93"/>
        <v>0</v>
      </c>
      <c r="P247" s="28"/>
      <c r="Q247" s="27">
        <f t="shared" si="20"/>
        <v>0</v>
      </c>
      <c r="R247" s="28">
        <v>1</v>
      </c>
      <c r="S247" s="27">
        <f t="shared" si="118"/>
        <v>176675</v>
      </c>
      <c r="T247" s="28"/>
      <c r="U247" s="27">
        <f t="shared" si="27"/>
        <v>0</v>
      </c>
      <c r="V247" s="28"/>
      <c r="W247" s="27">
        <f t="shared" si="119"/>
        <v>0</v>
      </c>
      <c r="X247" s="28"/>
      <c r="Y247" s="27">
        <f t="shared" si="67"/>
        <v>0</v>
      </c>
      <c r="Z247" s="28"/>
      <c r="AA247" s="27">
        <f t="shared" si="113"/>
        <v>0</v>
      </c>
      <c r="AB247" s="28"/>
      <c r="AC247" s="27">
        <f t="shared" si="29"/>
        <v>0</v>
      </c>
      <c r="AD247" s="28"/>
      <c r="AE247" s="27">
        <f t="shared" si="114"/>
        <v>0</v>
      </c>
      <c r="AF247" s="28"/>
      <c r="AG247" s="30">
        <f t="shared" si="33"/>
        <v>0</v>
      </c>
      <c r="AH247" s="217"/>
      <c r="AI247" s="220"/>
      <c r="AJ247" s="220"/>
      <c r="AK247" s="17">
        <f t="shared" si="120"/>
        <v>0</v>
      </c>
      <c r="AL247" s="23">
        <f t="shared" si="120"/>
        <v>0</v>
      </c>
      <c r="AM247" s="4">
        <f t="shared" si="100"/>
        <v>0</v>
      </c>
      <c r="AN247" s="4">
        <v>0</v>
      </c>
      <c r="AO247" s="136">
        <f t="shared" si="101"/>
        <v>0</v>
      </c>
      <c r="AP247" s="17">
        <v>0</v>
      </c>
      <c r="AQ247" s="23">
        <f t="shared" si="102"/>
        <v>0</v>
      </c>
      <c r="AR247" s="17">
        <f t="shared" si="98"/>
        <v>0</v>
      </c>
      <c r="AS247" s="141">
        <f t="shared" si="103"/>
        <v>0</v>
      </c>
      <c r="AT247" s="158">
        <f t="shared" si="125"/>
        <v>1</v>
      </c>
      <c r="AU247" s="146">
        <f t="shared" si="104"/>
        <v>176675</v>
      </c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</row>
    <row r="248" spans="1:59" ht="15" customHeight="1">
      <c r="A248" s="50">
        <v>3</v>
      </c>
      <c r="B248" s="24" t="s">
        <v>162</v>
      </c>
      <c r="C248" s="55"/>
      <c r="D248" s="28">
        <f>E248/C245</f>
        <v>0.30345538347026996</v>
      </c>
      <c r="E248" s="27">
        <v>212000</v>
      </c>
      <c r="F248" s="28"/>
      <c r="G248" s="27">
        <f t="shared" si="115"/>
        <v>0</v>
      </c>
      <c r="H248" s="28"/>
      <c r="I248" s="27">
        <f t="shared" si="126"/>
        <v>0</v>
      </c>
      <c r="J248" s="28"/>
      <c r="K248" s="27">
        <f t="shared" si="92"/>
        <v>0</v>
      </c>
      <c r="L248" s="28"/>
      <c r="M248" s="27">
        <f t="shared" si="32"/>
        <v>0</v>
      </c>
      <c r="N248" s="28"/>
      <c r="O248" s="27">
        <f t="shared" si="93"/>
        <v>0</v>
      </c>
      <c r="P248" s="28"/>
      <c r="Q248" s="27">
        <f t="shared" si="20"/>
        <v>0</v>
      </c>
      <c r="R248" s="28">
        <v>1</v>
      </c>
      <c r="S248" s="27">
        <f t="shared" si="118"/>
        <v>212000</v>
      </c>
      <c r="T248" s="28"/>
      <c r="U248" s="27">
        <f t="shared" si="27"/>
        <v>0</v>
      </c>
      <c r="V248" s="28"/>
      <c r="W248" s="27">
        <f t="shared" si="119"/>
        <v>0</v>
      </c>
      <c r="X248" s="28"/>
      <c r="Y248" s="27">
        <f t="shared" si="67"/>
        <v>0</v>
      </c>
      <c r="Z248" s="28"/>
      <c r="AA248" s="27">
        <f t="shared" si="113"/>
        <v>0</v>
      </c>
      <c r="AB248" s="28"/>
      <c r="AC248" s="27">
        <f t="shared" si="29"/>
        <v>0</v>
      </c>
      <c r="AD248" s="28"/>
      <c r="AE248" s="27">
        <f t="shared" si="114"/>
        <v>0</v>
      </c>
      <c r="AF248" s="28"/>
      <c r="AG248" s="30">
        <f t="shared" si="33"/>
        <v>0</v>
      </c>
      <c r="AH248" s="217"/>
      <c r="AI248" s="220"/>
      <c r="AJ248" s="220"/>
      <c r="AK248" s="17">
        <f t="shared" ref="AK248:AL263" si="127">F248+H248+L248+P248+T248+X248+AB248+AF248</f>
        <v>0</v>
      </c>
      <c r="AL248" s="23">
        <f t="shared" si="127"/>
        <v>0</v>
      </c>
      <c r="AM248" s="4">
        <f t="shared" si="100"/>
        <v>0</v>
      </c>
      <c r="AN248" s="4">
        <v>0</v>
      </c>
      <c r="AO248" s="136">
        <f t="shared" si="101"/>
        <v>0</v>
      </c>
      <c r="AP248" s="17">
        <v>0</v>
      </c>
      <c r="AQ248" s="23">
        <f t="shared" si="102"/>
        <v>0</v>
      </c>
      <c r="AR248" s="17">
        <f t="shared" si="98"/>
        <v>0</v>
      </c>
      <c r="AS248" s="141">
        <f t="shared" si="103"/>
        <v>0</v>
      </c>
      <c r="AT248" s="158"/>
      <c r="AU248" s="146">
        <f t="shared" si="104"/>
        <v>0</v>
      </c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</row>
    <row r="249" spans="1:59" ht="15" customHeight="1">
      <c r="A249" s="50">
        <v>4</v>
      </c>
      <c r="B249" s="24" t="s">
        <v>163</v>
      </c>
      <c r="C249" s="55"/>
      <c r="D249" s="28">
        <f>E249/C245</f>
        <v>0.25146002118462113</v>
      </c>
      <c r="E249" s="27">
        <v>175675</v>
      </c>
      <c r="F249" s="28"/>
      <c r="G249" s="27">
        <f t="shared" si="115"/>
        <v>0</v>
      </c>
      <c r="H249" s="28"/>
      <c r="I249" s="27">
        <f t="shared" si="126"/>
        <v>0</v>
      </c>
      <c r="J249" s="28"/>
      <c r="K249" s="27">
        <f t="shared" si="92"/>
        <v>0</v>
      </c>
      <c r="L249" s="28"/>
      <c r="M249" s="27">
        <f t="shared" si="32"/>
        <v>0</v>
      </c>
      <c r="N249" s="28"/>
      <c r="O249" s="27">
        <f t="shared" si="93"/>
        <v>0</v>
      </c>
      <c r="P249" s="28"/>
      <c r="Q249" s="27">
        <f t="shared" si="20"/>
        <v>0</v>
      </c>
      <c r="R249" s="28">
        <v>1</v>
      </c>
      <c r="S249" s="27">
        <f t="shared" si="118"/>
        <v>175675</v>
      </c>
      <c r="T249" s="28"/>
      <c r="U249" s="27">
        <f t="shared" si="27"/>
        <v>0</v>
      </c>
      <c r="V249" s="28"/>
      <c r="W249" s="27">
        <f t="shared" si="119"/>
        <v>0</v>
      </c>
      <c r="X249" s="28"/>
      <c r="Y249" s="27">
        <f t="shared" si="67"/>
        <v>0</v>
      </c>
      <c r="Z249" s="28"/>
      <c r="AA249" s="27">
        <f t="shared" si="113"/>
        <v>0</v>
      </c>
      <c r="AB249" s="28"/>
      <c r="AC249" s="27">
        <f t="shared" si="29"/>
        <v>0</v>
      </c>
      <c r="AD249" s="28"/>
      <c r="AE249" s="27">
        <f t="shared" si="114"/>
        <v>0</v>
      </c>
      <c r="AF249" s="28"/>
      <c r="AG249" s="30">
        <f t="shared" si="33"/>
        <v>0</v>
      </c>
      <c r="AH249" s="217"/>
      <c r="AI249" s="220"/>
      <c r="AJ249" s="220"/>
      <c r="AK249" s="17">
        <f t="shared" si="127"/>
        <v>0</v>
      </c>
      <c r="AL249" s="23">
        <f t="shared" si="127"/>
        <v>0</v>
      </c>
      <c r="AM249" s="4">
        <f t="shared" si="100"/>
        <v>0</v>
      </c>
      <c r="AN249" s="4">
        <v>0</v>
      </c>
      <c r="AO249" s="136">
        <f t="shared" si="101"/>
        <v>0</v>
      </c>
      <c r="AP249" s="17">
        <v>0</v>
      </c>
      <c r="AQ249" s="23">
        <f t="shared" si="102"/>
        <v>0</v>
      </c>
      <c r="AR249" s="17">
        <f t="shared" si="98"/>
        <v>0</v>
      </c>
      <c r="AS249" s="141">
        <f t="shared" si="103"/>
        <v>0</v>
      </c>
      <c r="AT249" s="158"/>
      <c r="AU249" s="146">
        <f t="shared" si="104"/>
        <v>0</v>
      </c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</row>
    <row r="250" spans="1:59" ht="15" customHeight="1">
      <c r="A250" s="50">
        <v>5</v>
      </c>
      <c r="B250" s="24" t="s">
        <v>44</v>
      </c>
      <c r="C250" s="55"/>
      <c r="D250" s="28">
        <f>E250/C245</f>
        <v>9.1036615041080987E-2</v>
      </c>
      <c r="E250" s="27">
        <v>63600</v>
      </c>
      <c r="F250" s="28"/>
      <c r="G250" s="27">
        <f t="shared" si="115"/>
        <v>0</v>
      </c>
      <c r="H250" s="28"/>
      <c r="I250" s="27">
        <f t="shared" si="126"/>
        <v>0</v>
      </c>
      <c r="J250" s="28"/>
      <c r="K250" s="27">
        <f t="shared" si="92"/>
        <v>0</v>
      </c>
      <c r="L250" s="28"/>
      <c r="M250" s="27">
        <f t="shared" si="32"/>
        <v>0</v>
      </c>
      <c r="N250" s="28"/>
      <c r="O250" s="27">
        <f t="shared" si="93"/>
        <v>0</v>
      </c>
      <c r="P250" s="28"/>
      <c r="Q250" s="27">
        <f t="shared" si="20"/>
        <v>0</v>
      </c>
      <c r="R250" s="28"/>
      <c r="S250" s="27">
        <f t="shared" si="118"/>
        <v>0</v>
      </c>
      <c r="T250" s="28"/>
      <c r="U250" s="27">
        <f t="shared" si="27"/>
        <v>0</v>
      </c>
      <c r="V250" s="28"/>
      <c r="W250" s="27">
        <f t="shared" si="119"/>
        <v>0</v>
      </c>
      <c r="X250" s="28"/>
      <c r="Y250" s="27">
        <f t="shared" si="67"/>
        <v>0</v>
      </c>
      <c r="Z250" s="28">
        <v>1</v>
      </c>
      <c r="AA250" s="27">
        <f t="shared" si="113"/>
        <v>63600</v>
      </c>
      <c r="AB250" s="28"/>
      <c r="AC250" s="27">
        <f t="shared" si="29"/>
        <v>0</v>
      </c>
      <c r="AD250" s="28"/>
      <c r="AE250" s="27">
        <f t="shared" si="114"/>
        <v>0</v>
      </c>
      <c r="AF250" s="28"/>
      <c r="AG250" s="30">
        <f t="shared" si="33"/>
        <v>0</v>
      </c>
      <c r="AH250" s="217"/>
      <c r="AI250" s="220"/>
      <c r="AJ250" s="220"/>
      <c r="AK250" s="17">
        <f t="shared" si="127"/>
        <v>0</v>
      </c>
      <c r="AL250" s="23">
        <f t="shared" si="127"/>
        <v>0</v>
      </c>
      <c r="AM250" s="4">
        <f t="shared" si="100"/>
        <v>0</v>
      </c>
      <c r="AN250" s="4">
        <v>0</v>
      </c>
      <c r="AO250" s="136">
        <f t="shared" si="101"/>
        <v>0</v>
      </c>
      <c r="AP250" s="17">
        <v>0</v>
      </c>
      <c r="AQ250" s="23">
        <f t="shared" si="102"/>
        <v>0</v>
      </c>
      <c r="AR250" s="17">
        <f t="shared" si="98"/>
        <v>0</v>
      </c>
      <c r="AS250" s="141">
        <f t="shared" si="103"/>
        <v>0</v>
      </c>
      <c r="AT250" s="158"/>
      <c r="AU250" s="146">
        <f t="shared" si="104"/>
        <v>0</v>
      </c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</row>
    <row r="251" spans="1:59" ht="15" customHeight="1">
      <c r="A251" s="66" t="s">
        <v>170</v>
      </c>
      <c r="B251" s="67" t="s">
        <v>171</v>
      </c>
      <c r="C251" s="68">
        <v>135686</v>
      </c>
      <c r="D251" s="86"/>
      <c r="E251" s="70"/>
      <c r="F251" s="71"/>
      <c r="G251" s="72">
        <f t="shared" si="115"/>
        <v>0</v>
      </c>
      <c r="H251" s="71"/>
      <c r="I251" s="72"/>
      <c r="J251" s="72"/>
      <c r="K251" s="72">
        <f t="shared" si="92"/>
        <v>0</v>
      </c>
      <c r="L251" s="71"/>
      <c r="M251" s="72">
        <f t="shared" si="32"/>
        <v>0</v>
      </c>
      <c r="N251" s="72"/>
      <c r="O251" s="72">
        <f t="shared" si="93"/>
        <v>0</v>
      </c>
      <c r="P251" s="71"/>
      <c r="Q251" s="72">
        <f t="shared" si="20"/>
        <v>0</v>
      </c>
      <c r="R251" s="72"/>
      <c r="S251" s="72">
        <f t="shared" si="118"/>
        <v>0</v>
      </c>
      <c r="T251" s="71"/>
      <c r="U251" s="72">
        <f t="shared" si="27"/>
        <v>0</v>
      </c>
      <c r="V251" s="72"/>
      <c r="W251" s="72">
        <f t="shared" si="119"/>
        <v>0</v>
      </c>
      <c r="X251" s="71"/>
      <c r="Y251" s="72">
        <f t="shared" si="67"/>
        <v>0</v>
      </c>
      <c r="Z251" s="72"/>
      <c r="AA251" s="72">
        <f t="shared" si="113"/>
        <v>0</v>
      </c>
      <c r="AB251" s="71"/>
      <c r="AC251" s="72">
        <f t="shared" si="29"/>
        <v>0</v>
      </c>
      <c r="AD251" s="72"/>
      <c r="AE251" s="72">
        <f t="shared" si="114"/>
        <v>0</v>
      </c>
      <c r="AF251" s="71"/>
      <c r="AG251" s="73">
        <f t="shared" si="33"/>
        <v>0</v>
      </c>
      <c r="AH251" s="217"/>
      <c r="AI251" s="220"/>
      <c r="AJ251" s="220"/>
      <c r="AK251" s="17">
        <f t="shared" si="127"/>
        <v>0</v>
      </c>
      <c r="AL251" s="23">
        <f t="shared" si="127"/>
        <v>0</v>
      </c>
      <c r="AM251" s="4">
        <f t="shared" si="100"/>
        <v>0</v>
      </c>
      <c r="AN251" s="4">
        <v>0</v>
      </c>
      <c r="AO251" s="136">
        <f t="shared" si="101"/>
        <v>0</v>
      </c>
      <c r="AP251" s="17">
        <v>0</v>
      </c>
      <c r="AQ251" s="23">
        <f t="shared" si="102"/>
        <v>0</v>
      </c>
      <c r="AR251" s="17">
        <f t="shared" si="98"/>
        <v>0</v>
      </c>
      <c r="AS251" s="141">
        <f t="shared" si="103"/>
        <v>0</v>
      </c>
      <c r="AT251" s="158"/>
      <c r="AU251" s="146">
        <f t="shared" si="104"/>
        <v>0</v>
      </c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</row>
    <row r="252" spans="1:59" ht="15" customHeight="1">
      <c r="A252" s="50">
        <v>1</v>
      </c>
      <c r="B252" s="24" t="s">
        <v>160</v>
      </c>
      <c r="C252" s="84"/>
      <c r="D252" s="29">
        <f>E252/C251</f>
        <v>0.10104211193490854</v>
      </c>
      <c r="E252" s="27">
        <v>13710</v>
      </c>
      <c r="F252" s="28"/>
      <c r="G252" s="27">
        <f t="shared" si="115"/>
        <v>0</v>
      </c>
      <c r="H252" s="28"/>
      <c r="I252" s="27"/>
      <c r="J252" s="28"/>
      <c r="K252" s="27">
        <f t="shared" si="92"/>
        <v>0</v>
      </c>
      <c r="L252" s="28"/>
      <c r="M252" s="27">
        <f t="shared" si="32"/>
        <v>0</v>
      </c>
      <c r="N252" s="28"/>
      <c r="O252" s="27">
        <f t="shared" si="93"/>
        <v>0</v>
      </c>
      <c r="P252" s="28"/>
      <c r="Q252" s="27">
        <f t="shared" si="20"/>
        <v>0</v>
      </c>
      <c r="R252" s="28">
        <v>1</v>
      </c>
      <c r="S252" s="27">
        <f t="shared" si="118"/>
        <v>13710</v>
      </c>
      <c r="T252" s="28"/>
      <c r="U252" s="27">
        <f t="shared" si="27"/>
        <v>0</v>
      </c>
      <c r="V252" s="28"/>
      <c r="W252" s="27">
        <f t="shared" si="119"/>
        <v>0</v>
      </c>
      <c r="X252" s="28"/>
      <c r="Y252" s="27">
        <f t="shared" si="67"/>
        <v>0</v>
      </c>
      <c r="Z252" s="28"/>
      <c r="AA252" s="27">
        <f t="shared" si="113"/>
        <v>0</v>
      </c>
      <c r="AB252" s="28"/>
      <c r="AC252" s="27">
        <f t="shared" si="29"/>
        <v>0</v>
      </c>
      <c r="AD252" s="28"/>
      <c r="AE252" s="27">
        <f t="shared" si="114"/>
        <v>0</v>
      </c>
      <c r="AF252" s="28"/>
      <c r="AG252" s="30">
        <f t="shared" si="33"/>
        <v>0</v>
      </c>
      <c r="AH252" s="217"/>
      <c r="AI252" s="220"/>
      <c r="AJ252" s="220"/>
      <c r="AK252" s="17">
        <f t="shared" si="127"/>
        <v>0</v>
      </c>
      <c r="AL252" s="23">
        <f t="shared" si="127"/>
        <v>0</v>
      </c>
      <c r="AM252" s="4">
        <f t="shared" si="100"/>
        <v>0</v>
      </c>
      <c r="AN252" s="4">
        <v>0</v>
      </c>
      <c r="AO252" s="136">
        <f t="shared" si="101"/>
        <v>0</v>
      </c>
      <c r="AP252" s="17">
        <v>0</v>
      </c>
      <c r="AQ252" s="23">
        <f t="shared" si="102"/>
        <v>0</v>
      </c>
      <c r="AR252" s="17">
        <f t="shared" si="98"/>
        <v>0</v>
      </c>
      <c r="AS252" s="141">
        <f t="shared" si="103"/>
        <v>0</v>
      </c>
      <c r="AT252" s="158">
        <f t="shared" ref="AT252:AT253" si="128">100%-AK252</f>
        <v>1</v>
      </c>
      <c r="AU252" s="146">
        <f t="shared" si="104"/>
        <v>13710</v>
      </c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</row>
    <row r="253" spans="1:59" ht="15" customHeight="1">
      <c r="A253" s="50">
        <v>2</v>
      </c>
      <c r="B253" s="24" t="s">
        <v>161</v>
      </c>
      <c r="C253" s="55"/>
      <c r="D253" s="29">
        <f>E253/C251</f>
        <v>0.25259053992305763</v>
      </c>
      <c r="E253" s="27">
        <v>34273</v>
      </c>
      <c r="F253" s="28"/>
      <c r="G253" s="27">
        <f t="shared" si="115"/>
        <v>0</v>
      </c>
      <c r="H253" s="28"/>
      <c r="I253" s="27">
        <f t="shared" ref="I253:I256" si="129">+H253*$E253</f>
        <v>0</v>
      </c>
      <c r="J253" s="28"/>
      <c r="K253" s="27">
        <f t="shared" si="92"/>
        <v>0</v>
      </c>
      <c r="L253" s="28"/>
      <c r="M253" s="27">
        <f t="shared" si="32"/>
        <v>0</v>
      </c>
      <c r="N253" s="28"/>
      <c r="O253" s="27">
        <f t="shared" si="93"/>
        <v>0</v>
      </c>
      <c r="P253" s="28"/>
      <c r="Q253" s="27">
        <f t="shared" si="20"/>
        <v>0</v>
      </c>
      <c r="R253" s="28">
        <v>1</v>
      </c>
      <c r="S253" s="27">
        <f t="shared" si="118"/>
        <v>34273</v>
      </c>
      <c r="T253" s="28"/>
      <c r="U253" s="27">
        <f t="shared" si="27"/>
        <v>0</v>
      </c>
      <c r="V253" s="28"/>
      <c r="W253" s="27">
        <f t="shared" si="119"/>
        <v>0</v>
      </c>
      <c r="X253" s="28"/>
      <c r="Y253" s="27">
        <f t="shared" si="67"/>
        <v>0</v>
      </c>
      <c r="Z253" s="28"/>
      <c r="AA253" s="27">
        <f t="shared" si="113"/>
        <v>0</v>
      </c>
      <c r="AB253" s="28"/>
      <c r="AC253" s="27">
        <f t="shared" si="29"/>
        <v>0</v>
      </c>
      <c r="AD253" s="28"/>
      <c r="AE253" s="27">
        <f t="shared" si="114"/>
        <v>0</v>
      </c>
      <c r="AF253" s="28"/>
      <c r="AG253" s="30">
        <f t="shared" si="33"/>
        <v>0</v>
      </c>
      <c r="AH253" s="217"/>
      <c r="AI253" s="220"/>
      <c r="AJ253" s="220"/>
      <c r="AK253" s="17">
        <f t="shared" si="127"/>
        <v>0</v>
      </c>
      <c r="AL253" s="23">
        <f t="shared" si="127"/>
        <v>0</v>
      </c>
      <c r="AM253" s="4">
        <f t="shared" si="100"/>
        <v>0</v>
      </c>
      <c r="AN253" s="4">
        <v>0</v>
      </c>
      <c r="AO253" s="136">
        <f t="shared" si="101"/>
        <v>0</v>
      </c>
      <c r="AP253" s="17">
        <v>0</v>
      </c>
      <c r="AQ253" s="23">
        <f t="shared" si="102"/>
        <v>0</v>
      </c>
      <c r="AR253" s="17">
        <f t="shared" si="98"/>
        <v>0</v>
      </c>
      <c r="AS253" s="141">
        <f t="shared" si="103"/>
        <v>0</v>
      </c>
      <c r="AT253" s="158">
        <f t="shared" si="128"/>
        <v>1</v>
      </c>
      <c r="AU253" s="146">
        <f t="shared" si="104"/>
        <v>34273</v>
      </c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</row>
    <row r="254" spans="1:59" ht="15" customHeight="1">
      <c r="A254" s="50">
        <v>3</v>
      </c>
      <c r="B254" s="24" t="s">
        <v>162</v>
      </c>
      <c r="C254" s="55"/>
      <c r="D254" s="29">
        <f>E254/C251</f>
        <v>0.30312633580472564</v>
      </c>
      <c r="E254" s="27">
        <v>41130</v>
      </c>
      <c r="F254" s="28"/>
      <c r="G254" s="27">
        <f t="shared" si="115"/>
        <v>0</v>
      </c>
      <c r="H254" s="28"/>
      <c r="I254" s="27">
        <f t="shared" si="129"/>
        <v>0</v>
      </c>
      <c r="J254" s="28"/>
      <c r="K254" s="27">
        <f t="shared" si="92"/>
        <v>0</v>
      </c>
      <c r="L254" s="28"/>
      <c r="M254" s="27">
        <f t="shared" si="32"/>
        <v>0</v>
      </c>
      <c r="N254" s="28"/>
      <c r="O254" s="27">
        <f t="shared" si="93"/>
        <v>0</v>
      </c>
      <c r="P254" s="28"/>
      <c r="Q254" s="27">
        <f t="shared" si="20"/>
        <v>0</v>
      </c>
      <c r="R254" s="28">
        <v>1</v>
      </c>
      <c r="S254" s="27">
        <f t="shared" si="118"/>
        <v>41130</v>
      </c>
      <c r="T254" s="28"/>
      <c r="U254" s="27">
        <f t="shared" si="27"/>
        <v>0</v>
      </c>
      <c r="V254" s="28"/>
      <c r="W254" s="27">
        <f t="shared" si="119"/>
        <v>0</v>
      </c>
      <c r="X254" s="28"/>
      <c r="Y254" s="27">
        <f t="shared" si="67"/>
        <v>0</v>
      </c>
      <c r="Z254" s="28"/>
      <c r="AA254" s="27">
        <f t="shared" si="113"/>
        <v>0</v>
      </c>
      <c r="AB254" s="28"/>
      <c r="AC254" s="27">
        <f t="shared" si="29"/>
        <v>0</v>
      </c>
      <c r="AD254" s="28"/>
      <c r="AE254" s="27">
        <f t="shared" si="114"/>
        <v>0</v>
      </c>
      <c r="AF254" s="28"/>
      <c r="AG254" s="30">
        <f t="shared" si="33"/>
        <v>0</v>
      </c>
      <c r="AH254" s="217"/>
      <c r="AI254" s="220"/>
      <c r="AJ254" s="220"/>
      <c r="AK254" s="17">
        <f t="shared" si="127"/>
        <v>0</v>
      </c>
      <c r="AL254" s="23">
        <f t="shared" si="127"/>
        <v>0</v>
      </c>
      <c r="AM254" s="4">
        <f t="shared" si="100"/>
        <v>0</v>
      </c>
      <c r="AN254" s="4">
        <v>0</v>
      </c>
      <c r="AO254" s="136">
        <f t="shared" si="101"/>
        <v>0</v>
      </c>
      <c r="AP254" s="17">
        <v>0</v>
      </c>
      <c r="AQ254" s="23">
        <f t="shared" si="102"/>
        <v>0</v>
      </c>
      <c r="AR254" s="17">
        <f t="shared" si="98"/>
        <v>0</v>
      </c>
      <c r="AS254" s="141">
        <f t="shared" si="103"/>
        <v>0</v>
      </c>
      <c r="AT254" s="158"/>
      <c r="AU254" s="146">
        <f t="shared" si="104"/>
        <v>0</v>
      </c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</row>
    <row r="255" spans="1:59" ht="15" customHeight="1">
      <c r="A255" s="50">
        <v>4</v>
      </c>
      <c r="B255" s="24" t="s">
        <v>163</v>
      </c>
      <c r="C255" s="55"/>
      <c r="D255" s="29">
        <f>E255/C251</f>
        <v>0.25259053992305763</v>
      </c>
      <c r="E255" s="27">
        <v>34273</v>
      </c>
      <c r="F255" s="28"/>
      <c r="G255" s="27">
        <f t="shared" si="115"/>
        <v>0</v>
      </c>
      <c r="H255" s="28"/>
      <c r="I255" s="27">
        <f t="shared" si="129"/>
        <v>0</v>
      </c>
      <c r="J255" s="28"/>
      <c r="K255" s="27">
        <f t="shared" si="92"/>
        <v>0</v>
      </c>
      <c r="L255" s="28"/>
      <c r="M255" s="27">
        <f t="shared" si="32"/>
        <v>0</v>
      </c>
      <c r="N255" s="28"/>
      <c r="O255" s="27">
        <f t="shared" si="93"/>
        <v>0</v>
      </c>
      <c r="P255" s="28"/>
      <c r="Q255" s="27">
        <f t="shared" si="20"/>
        <v>0</v>
      </c>
      <c r="R255" s="28">
        <v>1</v>
      </c>
      <c r="S255" s="27">
        <f t="shared" si="118"/>
        <v>34273</v>
      </c>
      <c r="T255" s="28"/>
      <c r="U255" s="27">
        <f t="shared" si="27"/>
        <v>0</v>
      </c>
      <c r="V255" s="28"/>
      <c r="W255" s="27">
        <f t="shared" si="119"/>
        <v>0</v>
      </c>
      <c r="X255" s="28"/>
      <c r="Y255" s="27">
        <f t="shared" si="67"/>
        <v>0</v>
      </c>
      <c r="Z255" s="28"/>
      <c r="AA255" s="27">
        <f t="shared" si="113"/>
        <v>0</v>
      </c>
      <c r="AB255" s="28"/>
      <c r="AC255" s="27">
        <f t="shared" si="29"/>
        <v>0</v>
      </c>
      <c r="AD255" s="28"/>
      <c r="AE255" s="27">
        <f t="shared" si="114"/>
        <v>0</v>
      </c>
      <c r="AF255" s="28"/>
      <c r="AG255" s="30">
        <f t="shared" si="33"/>
        <v>0</v>
      </c>
      <c r="AH255" s="217"/>
      <c r="AI255" s="220"/>
      <c r="AJ255" s="220"/>
      <c r="AK255" s="17">
        <f t="shared" si="127"/>
        <v>0</v>
      </c>
      <c r="AL255" s="23">
        <f t="shared" si="127"/>
        <v>0</v>
      </c>
      <c r="AM255" s="4">
        <f t="shared" si="100"/>
        <v>0</v>
      </c>
      <c r="AN255" s="4">
        <v>0</v>
      </c>
      <c r="AO255" s="136">
        <f t="shared" si="101"/>
        <v>0</v>
      </c>
      <c r="AP255" s="17">
        <v>0</v>
      </c>
      <c r="AQ255" s="23">
        <f t="shared" si="102"/>
        <v>0</v>
      </c>
      <c r="AR255" s="17">
        <f t="shared" si="98"/>
        <v>0</v>
      </c>
      <c r="AS255" s="141">
        <f t="shared" si="103"/>
        <v>0</v>
      </c>
      <c r="AT255" s="158"/>
      <c r="AU255" s="146">
        <f t="shared" si="104"/>
        <v>0</v>
      </c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</row>
    <row r="256" spans="1:59" ht="15" customHeight="1">
      <c r="A256" s="50">
        <v>5</v>
      </c>
      <c r="B256" s="24" t="s">
        <v>44</v>
      </c>
      <c r="C256" s="55"/>
      <c r="D256" s="29">
        <f>E256/C251</f>
        <v>9.0650472414250546E-2</v>
      </c>
      <c r="E256" s="27">
        <v>12300</v>
      </c>
      <c r="F256" s="28"/>
      <c r="G256" s="27">
        <f t="shared" si="115"/>
        <v>0</v>
      </c>
      <c r="H256" s="28"/>
      <c r="I256" s="27">
        <f t="shared" si="129"/>
        <v>0</v>
      </c>
      <c r="J256" s="28"/>
      <c r="K256" s="27">
        <f t="shared" si="92"/>
        <v>0</v>
      </c>
      <c r="L256" s="28"/>
      <c r="M256" s="27">
        <f t="shared" si="32"/>
        <v>0</v>
      </c>
      <c r="N256" s="28"/>
      <c r="O256" s="27">
        <f t="shared" si="93"/>
        <v>0</v>
      </c>
      <c r="P256" s="28"/>
      <c r="Q256" s="27">
        <f t="shared" si="20"/>
        <v>0</v>
      </c>
      <c r="R256" s="28"/>
      <c r="S256" s="27">
        <f t="shared" si="118"/>
        <v>0</v>
      </c>
      <c r="T256" s="28"/>
      <c r="U256" s="27">
        <f t="shared" si="27"/>
        <v>0</v>
      </c>
      <c r="V256" s="28"/>
      <c r="W256" s="27">
        <f t="shared" si="119"/>
        <v>0</v>
      </c>
      <c r="X256" s="28"/>
      <c r="Y256" s="27">
        <f t="shared" si="67"/>
        <v>0</v>
      </c>
      <c r="Z256" s="28">
        <v>1</v>
      </c>
      <c r="AA256" s="27">
        <f t="shared" si="113"/>
        <v>12300</v>
      </c>
      <c r="AB256" s="28"/>
      <c r="AC256" s="27">
        <f t="shared" si="29"/>
        <v>0</v>
      </c>
      <c r="AD256" s="28"/>
      <c r="AE256" s="27">
        <f t="shared" si="114"/>
        <v>0</v>
      </c>
      <c r="AF256" s="28"/>
      <c r="AG256" s="30">
        <f t="shared" si="33"/>
        <v>0</v>
      </c>
      <c r="AH256" s="218"/>
      <c r="AI256" s="221"/>
      <c r="AJ256" s="221"/>
      <c r="AK256" s="17">
        <f t="shared" si="127"/>
        <v>0</v>
      </c>
      <c r="AL256" s="23">
        <f t="shared" si="127"/>
        <v>0</v>
      </c>
      <c r="AM256" s="4">
        <f t="shared" si="100"/>
        <v>0</v>
      </c>
      <c r="AN256" s="4">
        <v>0</v>
      </c>
      <c r="AO256" s="136">
        <f t="shared" si="101"/>
        <v>0</v>
      </c>
      <c r="AP256" s="17">
        <v>0</v>
      </c>
      <c r="AQ256" s="23">
        <f t="shared" si="102"/>
        <v>0</v>
      </c>
      <c r="AR256" s="17">
        <f t="shared" si="98"/>
        <v>0</v>
      </c>
      <c r="AS256" s="141">
        <f t="shared" si="103"/>
        <v>0</v>
      </c>
      <c r="AT256" s="158"/>
      <c r="AU256" s="146">
        <f t="shared" si="104"/>
        <v>0</v>
      </c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</row>
    <row r="257" spans="1:59" ht="15" customHeight="1">
      <c r="A257" s="66" t="s">
        <v>172</v>
      </c>
      <c r="B257" s="67" t="s">
        <v>173</v>
      </c>
      <c r="C257" s="68"/>
      <c r="D257" s="69"/>
      <c r="E257" s="70"/>
      <c r="F257" s="71"/>
      <c r="G257" s="72">
        <f t="shared" si="115"/>
        <v>0</v>
      </c>
      <c r="H257" s="71"/>
      <c r="I257" s="72"/>
      <c r="J257" s="72"/>
      <c r="K257" s="72">
        <f t="shared" si="92"/>
        <v>0</v>
      </c>
      <c r="L257" s="71"/>
      <c r="M257" s="72">
        <f t="shared" si="32"/>
        <v>0</v>
      </c>
      <c r="N257" s="72"/>
      <c r="O257" s="72">
        <f t="shared" si="93"/>
        <v>0</v>
      </c>
      <c r="P257" s="71"/>
      <c r="Q257" s="72">
        <f t="shared" si="20"/>
        <v>0</v>
      </c>
      <c r="R257" s="72"/>
      <c r="S257" s="72">
        <f t="shared" si="118"/>
        <v>0</v>
      </c>
      <c r="T257" s="71"/>
      <c r="U257" s="72">
        <f t="shared" si="27"/>
        <v>0</v>
      </c>
      <c r="V257" s="72"/>
      <c r="W257" s="72">
        <f t="shared" si="119"/>
        <v>0</v>
      </c>
      <c r="X257" s="71"/>
      <c r="Y257" s="72">
        <f t="shared" si="67"/>
        <v>0</v>
      </c>
      <c r="Z257" s="72"/>
      <c r="AA257" s="72">
        <f t="shared" si="113"/>
        <v>0</v>
      </c>
      <c r="AB257" s="71"/>
      <c r="AC257" s="72">
        <f t="shared" si="29"/>
        <v>0</v>
      </c>
      <c r="AD257" s="72"/>
      <c r="AE257" s="72">
        <f t="shared" si="114"/>
        <v>0</v>
      </c>
      <c r="AF257" s="71"/>
      <c r="AG257" s="73">
        <f t="shared" si="33"/>
        <v>0</v>
      </c>
      <c r="AH257" s="216">
        <f>SUM(E258:E260)</f>
        <v>2780620</v>
      </c>
      <c r="AI257" s="219">
        <f>SUM(U258:U260)+SUM(Y258:Y260)+SUM(AC258:AC260)</f>
        <v>0</v>
      </c>
      <c r="AJ257" s="222">
        <f>AI257/AH257</f>
        <v>0</v>
      </c>
      <c r="AK257" s="17">
        <f t="shared" si="127"/>
        <v>0</v>
      </c>
      <c r="AL257" s="23">
        <f t="shared" si="127"/>
        <v>0</v>
      </c>
      <c r="AM257" s="4">
        <f t="shared" si="100"/>
        <v>0</v>
      </c>
      <c r="AN257" s="4">
        <v>0</v>
      </c>
      <c r="AO257" s="136">
        <f t="shared" si="101"/>
        <v>0</v>
      </c>
      <c r="AP257" s="17">
        <v>0</v>
      </c>
      <c r="AQ257" s="23">
        <f t="shared" si="102"/>
        <v>0</v>
      </c>
      <c r="AR257" s="17">
        <f t="shared" si="98"/>
        <v>0</v>
      </c>
      <c r="AS257" s="141">
        <f t="shared" si="103"/>
        <v>0</v>
      </c>
      <c r="AT257" s="158"/>
      <c r="AU257" s="146">
        <f t="shared" si="104"/>
        <v>0</v>
      </c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</row>
    <row r="258" spans="1:59" ht="15" customHeight="1">
      <c r="A258" s="50"/>
      <c r="B258" s="87"/>
      <c r="C258" s="88"/>
      <c r="D258" s="89"/>
      <c r="E258" s="27"/>
      <c r="F258" s="28"/>
      <c r="G258" s="27">
        <f t="shared" si="115"/>
        <v>0</v>
      </c>
      <c r="H258" s="28"/>
      <c r="I258" s="27"/>
      <c r="J258" s="28"/>
      <c r="K258" s="27">
        <f t="shared" si="92"/>
        <v>0</v>
      </c>
      <c r="L258" s="28"/>
      <c r="M258" s="27">
        <f t="shared" si="32"/>
        <v>0</v>
      </c>
      <c r="N258" s="28"/>
      <c r="O258" s="27">
        <f t="shared" si="93"/>
        <v>0</v>
      </c>
      <c r="P258" s="28"/>
      <c r="Q258" s="27">
        <f t="shared" si="20"/>
        <v>0</v>
      </c>
      <c r="R258" s="28"/>
      <c r="S258" s="27">
        <f t="shared" si="118"/>
        <v>0</v>
      </c>
      <c r="T258" s="28"/>
      <c r="U258" s="27">
        <f t="shared" si="27"/>
        <v>0</v>
      </c>
      <c r="V258" s="28"/>
      <c r="W258" s="27">
        <f t="shared" si="119"/>
        <v>0</v>
      </c>
      <c r="X258" s="28"/>
      <c r="Y258" s="27">
        <f t="shared" si="67"/>
        <v>0</v>
      </c>
      <c r="Z258" s="28"/>
      <c r="AA258" s="27">
        <f t="shared" si="113"/>
        <v>0</v>
      </c>
      <c r="AB258" s="28"/>
      <c r="AC258" s="27">
        <f t="shared" si="29"/>
        <v>0</v>
      </c>
      <c r="AD258" s="28"/>
      <c r="AE258" s="27">
        <f t="shared" si="114"/>
        <v>0</v>
      </c>
      <c r="AF258" s="28"/>
      <c r="AG258" s="30">
        <f t="shared" si="33"/>
        <v>0</v>
      </c>
      <c r="AH258" s="217"/>
      <c r="AI258" s="220"/>
      <c r="AJ258" s="220"/>
      <c r="AK258" s="17">
        <f t="shared" si="127"/>
        <v>0</v>
      </c>
      <c r="AL258" s="23">
        <f t="shared" si="127"/>
        <v>0</v>
      </c>
      <c r="AM258" s="4">
        <f t="shared" si="100"/>
        <v>0</v>
      </c>
      <c r="AN258" s="4">
        <v>0</v>
      </c>
      <c r="AO258" s="136">
        <f t="shared" si="101"/>
        <v>0</v>
      </c>
      <c r="AP258" s="17">
        <v>0</v>
      </c>
      <c r="AQ258" s="23">
        <f t="shared" si="102"/>
        <v>0</v>
      </c>
      <c r="AR258" s="17">
        <f t="shared" si="98"/>
        <v>0</v>
      </c>
      <c r="AS258" s="141">
        <f t="shared" si="103"/>
        <v>0</v>
      </c>
      <c r="AT258" s="158"/>
      <c r="AU258" s="146">
        <f t="shared" si="104"/>
        <v>0</v>
      </c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</row>
    <row r="259" spans="1:59" s="122" customFormat="1" ht="15" customHeight="1">
      <c r="A259" s="113">
        <v>1</v>
      </c>
      <c r="B259" s="114" t="s">
        <v>151</v>
      </c>
      <c r="C259" s="115"/>
      <c r="D259" s="133"/>
      <c r="E259" s="117">
        <v>250000</v>
      </c>
      <c r="F259" s="116"/>
      <c r="G259" s="117">
        <f t="shared" si="115"/>
        <v>0</v>
      </c>
      <c r="H259" s="116"/>
      <c r="I259" s="117"/>
      <c r="J259" s="116"/>
      <c r="K259" s="117">
        <f t="shared" si="92"/>
        <v>0</v>
      </c>
      <c r="L259" s="116"/>
      <c r="M259" s="117">
        <f t="shared" si="32"/>
        <v>0</v>
      </c>
      <c r="N259" s="116"/>
      <c r="O259" s="117">
        <f t="shared" si="93"/>
        <v>0</v>
      </c>
      <c r="P259" s="116"/>
      <c r="Q259" s="117">
        <f t="shared" si="20"/>
        <v>0</v>
      </c>
      <c r="R259" s="116">
        <v>1</v>
      </c>
      <c r="S259" s="117">
        <f t="shared" si="118"/>
        <v>250000</v>
      </c>
      <c r="T259" s="116"/>
      <c r="U259" s="117">
        <f t="shared" si="27"/>
        <v>0</v>
      </c>
      <c r="V259" s="116"/>
      <c r="W259" s="117">
        <f t="shared" si="119"/>
        <v>0</v>
      </c>
      <c r="X259" s="116"/>
      <c r="Y259" s="117">
        <f t="shared" si="67"/>
        <v>0</v>
      </c>
      <c r="Z259" s="116"/>
      <c r="AA259" s="117">
        <f t="shared" si="113"/>
        <v>0</v>
      </c>
      <c r="AB259" s="116"/>
      <c r="AC259" s="117">
        <f t="shared" si="29"/>
        <v>0</v>
      </c>
      <c r="AD259" s="116"/>
      <c r="AE259" s="117">
        <f t="shared" si="114"/>
        <v>0</v>
      </c>
      <c r="AF259" s="116"/>
      <c r="AG259" s="118">
        <f t="shared" si="33"/>
        <v>0</v>
      </c>
      <c r="AH259" s="217"/>
      <c r="AI259" s="220"/>
      <c r="AJ259" s="220"/>
      <c r="AK259" s="150">
        <f t="shared" si="127"/>
        <v>0</v>
      </c>
      <c r="AL259" s="119">
        <f t="shared" si="127"/>
        <v>0</v>
      </c>
      <c r="AM259" s="120">
        <f t="shared" si="100"/>
        <v>0</v>
      </c>
      <c r="AN259" s="120">
        <v>0</v>
      </c>
      <c r="AO259" s="164">
        <f t="shared" si="101"/>
        <v>0</v>
      </c>
      <c r="AP259" s="150">
        <v>0</v>
      </c>
      <c r="AQ259" s="119">
        <f t="shared" si="102"/>
        <v>0</v>
      </c>
      <c r="AR259" s="150">
        <f t="shared" si="98"/>
        <v>0</v>
      </c>
      <c r="AS259" s="165">
        <f t="shared" si="103"/>
        <v>0</v>
      </c>
      <c r="AT259" s="181"/>
      <c r="AU259" s="167">
        <f t="shared" si="104"/>
        <v>0</v>
      </c>
      <c r="AV259" s="121"/>
      <c r="AW259" s="121"/>
      <c r="AX259" s="121"/>
      <c r="AY259" s="121"/>
      <c r="AZ259" s="121"/>
      <c r="BA259" s="121"/>
      <c r="BB259" s="121"/>
      <c r="BC259" s="121"/>
      <c r="BD259" s="121"/>
      <c r="BE259" s="121"/>
      <c r="BF259" s="121"/>
      <c r="BG259" s="121"/>
    </row>
    <row r="260" spans="1:59" s="122" customFormat="1" ht="15" customHeight="1">
      <c r="A260" s="113">
        <v>2</v>
      </c>
      <c r="B260" s="114" t="s">
        <v>174</v>
      </c>
      <c r="C260" s="131"/>
      <c r="D260" s="114"/>
      <c r="E260" s="195">
        <f>2179000-250000+685000-83380</f>
        <v>2530620</v>
      </c>
      <c r="F260" s="116"/>
      <c r="G260" s="117">
        <f t="shared" si="115"/>
        <v>0</v>
      </c>
      <c r="H260" s="116"/>
      <c r="I260" s="117"/>
      <c r="J260" s="116"/>
      <c r="K260" s="117">
        <f t="shared" si="92"/>
        <v>0</v>
      </c>
      <c r="L260" s="116"/>
      <c r="M260" s="117">
        <f t="shared" si="32"/>
        <v>0</v>
      </c>
      <c r="N260" s="116"/>
      <c r="O260" s="117">
        <f t="shared" si="93"/>
        <v>0</v>
      </c>
      <c r="P260" s="116"/>
      <c r="Q260" s="117">
        <f t="shared" si="20"/>
        <v>0</v>
      </c>
      <c r="R260" s="116"/>
      <c r="S260" s="117">
        <f t="shared" si="118"/>
        <v>0</v>
      </c>
      <c r="T260" s="116"/>
      <c r="U260" s="117">
        <f t="shared" si="27"/>
        <v>0</v>
      </c>
      <c r="V260" s="116">
        <f>51%-19.8%</f>
        <v>0.312</v>
      </c>
      <c r="W260" s="117">
        <f>+V260*E260-266</f>
        <v>789287.44</v>
      </c>
      <c r="X260" s="116"/>
      <c r="Y260" s="117">
        <f t="shared" si="67"/>
        <v>0</v>
      </c>
      <c r="Z260" s="116">
        <f>49%+19.8%</f>
        <v>0.68799999999999994</v>
      </c>
      <c r="AA260" s="117">
        <f>+Z260*$E260+266</f>
        <v>1741332.5599999998</v>
      </c>
      <c r="AB260" s="116"/>
      <c r="AC260" s="117">
        <f t="shared" si="29"/>
        <v>0</v>
      </c>
      <c r="AD260" s="116"/>
      <c r="AE260" s="117">
        <f t="shared" si="114"/>
        <v>0</v>
      </c>
      <c r="AF260" s="116"/>
      <c r="AG260" s="118">
        <f t="shared" si="33"/>
        <v>0</v>
      </c>
      <c r="AH260" s="218"/>
      <c r="AI260" s="221"/>
      <c r="AJ260" s="221"/>
      <c r="AK260" s="150">
        <f t="shared" si="127"/>
        <v>0</v>
      </c>
      <c r="AL260" s="119">
        <f t="shared" si="127"/>
        <v>0</v>
      </c>
      <c r="AM260" s="120">
        <f t="shared" si="100"/>
        <v>0</v>
      </c>
      <c r="AN260" s="120">
        <v>0</v>
      </c>
      <c r="AO260" s="164">
        <f t="shared" si="101"/>
        <v>0</v>
      </c>
      <c r="AP260" s="150">
        <v>0</v>
      </c>
      <c r="AQ260" s="119">
        <f t="shared" si="102"/>
        <v>0</v>
      </c>
      <c r="AR260" s="150">
        <f t="shared" si="98"/>
        <v>0</v>
      </c>
      <c r="AS260" s="165">
        <f t="shared" si="103"/>
        <v>0</v>
      </c>
      <c r="AT260" s="181"/>
      <c r="AU260" s="167">
        <f t="shared" si="104"/>
        <v>0</v>
      </c>
      <c r="AV260" s="121"/>
      <c r="AW260" s="121"/>
      <c r="AX260" s="121"/>
      <c r="AY260" s="121"/>
      <c r="AZ260" s="121"/>
      <c r="BA260" s="121"/>
      <c r="BB260" s="121"/>
      <c r="BC260" s="121"/>
      <c r="BD260" s="121"/>
      <c r="BE260" s="121"/>
      <c r="BF260" s="121"/>
      <c r="BG260" s="121"/>
    </row>
    <row r="261" spans="1:59" s="122" customFormat="1" ht="18.75" customHeight="1">
      <c r="A261" s="113" t="s">
        <v>175</v>
      </c>
      <c r="B261" s="125" t="s">
        <v>176</v>
      </c>
      <c r="C261" s="126"/>
      <c r="D261" s="127"/>
      <c r="E261" s="117"/>
      <c r="F261" s="116"/>
      <c r="G261" s="117">
        <f t="shared" si="115"/>
        <v>0</v>
      </c>
      <c r="H261" s="116"/>
      <c r="I261" s="117"/>
      <c r="J261" s="116"/>
      <c r="K261" s="117">
        <f t="shared" si="92"/>
        <v>0</v>
      </c>
      <c r="L261" s="116"/>
      <c r="M261" s="117">
        <f t="shared" si="32"/>
        <v>0</v>
      </c>
      <c r="N261" s="116"/>
      <c r="O261" s="117">
        <f t="shared" si="93"/>
        <v>0</v>
      </c>
      <c r="P261" s="116"/>
      <c r="Q261" s="117">
        <f t="shared" si="20"/>
        <v>0</v>
      </c>
      <c r="R261" s="116"/>
      <c r="S261" s="117">
        <f t="shared" si="118"/>
        <v>0</v>
      </c>
      <c r="T261" s="116"/>
      <c r="U261" s="117">
        <f t="shared" si="27"/>
        <v>0</v>
      </c>
      <c r="V261" s="116"/>
      <c r="W261" s="117">
        <f t="shared" ref="W261:W263" si="130">+V261*E261</f>
        <v>0</v>
      </c>
      <c r="X261" s="116"/>
      <c r="Y261" s="117">
        <f t="shared" si="67"/>
        <v>0</v>
      </c>
      <c r="Z261" s="116"/>
      <c r="AA261" s="117">
        <f t="shared" ref="AA261:AA266" si="131">+Z261*$E261</f>
        <v>0</v>
      </c>
      <c r="AB261" s="116"/>
      <c r="AC261" s="117">
        <f t="shared" si="29"/>
        <v>0</v>
      </c>
      <c r="AD261" s="116"/>
      <c r="AE261" s="117">
        <f t="shared" si="114"/>
        <v>0</v>
      </c>
      <c r="AF261" s="116"/>
      <c r="AG261" s="118">
        <f t="shared" si="33"/>
        <v>0</v>
      </c>
      <c r="AH261" s="223">
        <f>SUM(E263:E333)</f>
        <v>87488000</v>
      </c>
      <c r="AI261" s="226">
        <f>SUM(G261:G333)+SUM(I261:I333)+SUM(M261:M333)+SUM(Q261:Q333)+SUM(U261:U333)+SUM(Y261:Y333)+SUM(AC261:AC333)+SUM(AG261:AG333)</f>
        <v>47775636.469999999</v>
      </c>
      <c r="AJ261" s="229">
        <f>AI261/AH261</f>
        <v>0.54608216521122899</v>
      </c>
      <c r="AK261" s="150">
        <f t="shared" si="127"/>
        <v>0</v>
      </c>
      <c r="AL261" s="119">
        <f t="shared" si="127"/>
        <v>0</v>
      </c>
      <c r="AM261" s="120">
        <f t="shared" si="100"/>
        <v>0</v>
      </c>
      <c r="AN261" s="120">
        <v>0</v>
      </c>
      <c r="AO261" s="164">
        <f t="shared" si="101"/>
        <v>0</v>
      </c>
      <c r="AP261" s="150">
        <v>0</v>
      </c>
      <c r="AQ261" s="119">
        <f t="shared" si="102"/>
        <v>0</v>
      </c>
      <c r="AR261" s="150">
        <f t="shared" si="98"/>
        <v>0</v>
      </c>
      <c r="AS261" s="165">
        <f t="shared" si="103"/>
        <v>0</v>
      </c>
      <c r="AT261" s="181"/>
      <c r="AU261" s="167">
        <f t="shared" si="104"/>
        <v>0</v>
      </c>
      <c r="AV261" s="121"/>
      <c r="AW261" s="121"/>
      <c r="AX261" s="121"/>
      <c r="AY261" s="121"/>
      <c r="AZ261" s="121"/>
      <c r="BA261" s="121"/>
      <c r="BB261" s="121"/>
      <c r="BC261" s="121"/>
      <c r="BD261" s="121"/>
      <c r="BE261" s="121"/>
      <c r="BF261" s="121"/>
      <c r="BG261" s="121"/>
    </row>
    <row r="262" spans="1:59" s="122" customFormat="1" ht="15" customHeight="1">
      <c r="A262" s="113" t="s">
        <v>32</v>
      </c>
      <c r="B262" s="128" t="s">
        <v>177</v>
      </c>
      <c r="C262" s="129"/>
      <c r="D262" s="130"/>
      <c r="E262" s="117"/>
      <c r="F262" s="116"/>
      <c r="G262" s="117">
        <f t="shared" si="115"/>
        <v>0</v>
      </c>
      <c r="H262" s="116"/>
      <c r="I262" s="117"/>
      <c r="J262" s="116"/>
      <c r="K262" s="117">
        <f t="shared" si="92"/>
        <v>0</v>
      </c>
      <c r="L262" s="116"/>
      <c r="M262" s="117">
        <f t="shared" si="32"/>
        <v>0</v>
      </c>
      <c r="N262" s="116"/>
      <c r="O262" s="117">
        <f t="shared" si="93"/>
        <v>0</v>
      </c>
      <c r="P262" s="116"/>
      <c r="Q262" s="117">
        <f t="shared" si="20"/>
        <v>0</v>
      </c>
      <c r="R262" s="116"/>
      <c r="S262" s="117">
        <f t="shared" si="118"/>
        <v>0</v>
      </c>
      <c r="T262" s="116"/>
      <c r="U262" s="117">
        <f t="shared" si="27"/>
        <v>0</v>
      </c>
      <c r="V262" s="116"/>
      <c r="W262" s="117">
        <f t="shared" si="130"/>
        <v>0</v>
      </c>
      <c r="X262" s="116"/>
      <c r="Y262" s="117">
        <f t="shared" si="67"/>
        <v>0</v>
      </c>
      <c r="Z262" s="116"/>
      <c r="AA262" s="117">
        <f t="shared" si="131"/>
        <v>0</v>
      </c>
      <c r="AB262" s="116"/>
      <c r="AC262" s="117">
        <f t="shared" si="29"/>
        <v>0</v>
      </c>
      <c r="AD262" s="116"/>
      <c r="AE262" s="117">
        <f t="shared" si="114"/>
        <v>0</v>
      </c>
      <c r="AF262" s="116"/>
      <c r="AG262" s="118">
        <f t="shared" si="33"/>
        <v>0</v>
      </c>
      <c r="AH262" s="224"/>
      <c r="AI262" s="227"/>
      <c r="AJ262" s="227"/>
      <c r="AK262" s="150">
        <f t="shared" si="127"/>
        <v>0</v>
      </c>
      <c r="AL262" s="119">
        <f t="shared" si="127"/>
        <v>0</v>
      </c>
      <c r="AM262" s="120">
        <f t="shared" si="100"/>
        <v>0</v>
      </c>
      <c r="AN262" s="120">
        <v>0</v>
      </c>
      <c r="AO262" s="164">
        <f t="shared" si="101"/>
        <v>0</v>
      </c>
      <c r="AP262" s="150">
        <v>0</v>
      </c>
      <c r="AQ262" s="119">
        <f t="shared" si="102"/>
        <v>0</v>
      </c>
      <c r="AR262" s="150">
        <f t="shared" si="98"/>
        <v>0</v>
      </c>
      <c r="AS262" s="165">
        <f t="shared" si="103"/>
        <v>0</v>
      </c>
      <c r="AT262" s="181"/>
      <c r="AU262" s="167">
        <f t="shared" si="104"/>
        <v>0</v>
      </c>
      <c r="AV262" s="121"/>
      <c r="AW262" s="121"/>
      <c r="AX262" s="121"/>
      <c r="AY262" s="121"/>
      <c r="AZ262" s="121"/>
      <c r="BA262" s="121"/>
      <c r="BB262" s="121"/>
      <c r="BC262" s="121"/>
      <c r="BD262" s="121"/>
      <c r="BE262" s="121"/>
      <c r="BF262" s="121"/>
      <c r="BG262" s="121"/>
    </row>
    <row r="263" spans="1:59" s="122" customFormat="1" ht="15" customHeight="1">
      <c r="A263" s="113"/>
      <c r="B263" s="114" t="s">
        <v>178</v>
      </c>
      <c r="C263" s="115"/>
      <c r="D263" s="116">
        <f>I263/E263</f>
        <v>0</v>
      </c>
      <c r="E263" s="117">
        <v>2285000</v>
      </c>
      <c r="F263" s="116"/>
      <c r="G263" s="117">
        <f t="shared" si="115"/>
        <v>0</v>
      </c>
      <c r="H263" s="116"/>
      <c r="I263" s="117">
        <f>+H263*$E263*0.8</f>
        <v>0</v>
      </c>
      <c r="J263" s="116">
        <v>1</v>
      </c>
      <c r="K263" s="117">
        <f>+J263*$E263*0.8</f>
        <v>1828000</v>
      </c>
      <c r="L263" s="116">
        <v>1</v>
      </c>
      <c r="M263" s="117">
        <f>L263*E263*0.8</f>
        <v>1828000</v>
      </c>
      <c r="N263" s="116"/>
      <c r="O263" s="117">
        <f t="shared" si="93"/>
        <v>0</v>
      </c>
      <c r="P263" s="116"/>
      <c r="Q263" s="117">
        <f t="shared" si="20"/>
        <v>0</v>
      </c>
      <c r="R263" s="116"/>
      <c r="S263" s="117">
        <f>+R263*$E263*0.8</f>
        <v>0</v>
      </c>
      <c r="T263" s="116"/>
      <c r="U263" s="117">
        <f t="shared" si="27"/>
        <v>0</v>
      </c>
      <c r="V263" s="116"/>
      <c r="W263" s="117">
        <f t="shared" si="130"/>
        <v>0</v>
      </c>
      <c r="X263" s="116"/>
      <c r="Y263" s="117">
        <f t="shared" si="67"/>
        <v>0</v>
      </c>
      <c r="Z263" s="116"/>
      <c r="AA263" s="117">
        <f t="shared" si="131"/>
        <v>0</v>
      </c>
      <c r="AB263" s="116"/>
      <c r="AC263" s="117">
        <f t="shared" si="29"/>
        <v>0</v>
      </c>
      <c r="AD263" s="116"/>
      <c r="AE263" s="117">
        <f t="shared" si="114"/>
        <v>0</v>
      </c>
      <c r="AF263" s="116"/>
      <c r="AG263" s="118">
        <f t="shared" si="33"/>
        <v>0</v>
      </c>
      <c r="AH263" s="224"/>
      <c r="AI263" s="227"/>
      <c r="AJ263" s="227"/>
      <c r="AK263" s="150">
        <f t="shared" si="127"/>
        <v>1</v>
      </c>
      <c r="AL263" s="119">
        <f t="shared" si="127"/>
        <v>1828000</v>
      </c>
      <c r="AM263" s="120">
        <f t="shared" si="100"/>
        <v>1</v>
      </c>
      <c r="AN263" s="120">
        <v>1</v>
      </c>
      <c r="AO263" s="164">
        <f t="shared" si="101"/>
        <v>0</v>
      </c>
      <c r="AP263" s="150">
        <v>1</v>
      </c>
      <c r="AQ263" s="119">
        <f>AP263*E263*0.8</f>
        <v>1828000</v>
      </c>
      <c r="AR263" s="150">
        <f t="shared" si="98"/>
        <v>0</v>
      </c>
      <c r="AS263" s="165">
        <f t="shared" si="103"/>
        <v>0</v>
      </c>
      <c r="AT263" s="181"/>
      <c r="AU263" s="167">
        <f t="shared" si="104"/>
        <v>0</v>
      </c>
      <c r="AV263" s="121"/>
      <c r="AW263" s="121"/>
      <c r="AX263" s="121"/>
      <c r="AY263" s="121"/>
      <c r="AZ263" s="121"/>
      <c r="BA263" s="121"/>
      <c r="BB263" s="121"/>
      <c r="BC263" s="121"/>
      <c r="BD263" s="121"/>
      <c r="BE263" s="121"/>
      <c r="BF263" s="121"/>
      <c r="BG263" s="121"/>
    </row>
    <row r="264" spans="1:59" s="122" customFormat="1" ht="15" customHeight="1">
      <c r="A264" s="113"/>
      <c r="B264" s="114" t="s">
        <v>179</v>
      </c>
      <c r="C264" s="115"/>
      <c r="D264" s="116">
        <f>W264/E263</f>
        <v>0.2</v>
      </c>
      <c r="E264" s="117"/>
      <c r="F264" s="116"/>
      <c r="G264" s="117">
        <f t="shared" si="115"/>
        <v>0</v>
      </c>
      <c r="H264" s="116"/>
      <c r="I264" s="117"/>
      <c r="J264" s="116"/>
      <c r="K264" s="117">
        <f t="shared" ref="K264:K265" si="132">+J264*$E264</f>
        <v>0</v>
      </c>
      <c r="L264" s="116"/>
      <c r="M264" s="117">
        <f t="shared" ref="M264:M265" si="133">L264*E264</f>
        <v>0</v>
      </c>
      <c r="N264" s="116"/>
      <c r="O264" s="117">
        <f t="shared" si="93"/>
        <v>0</v>
      </c>
      <c r="P264" s="116"/>
      <c r="Q264" s="117">
        <f t="shared" si="20"/>
        <v>0</v>
      </c>
      <c r="R264" s="116"/>
      <c r="S264" s="117">
        <f t="shared" ref="S264:S265" si="134">+R264*$E264</f>
        <v>0</v>
      </c>
      <c r="T264" s="116"/>
      <c r="U264" s="117">
        <f t="shared" si="27"/>
        <v>0</v>
      </c>
      <c r="V264" s="116">
        <v>1</v>
      </c>
      <c r="W264" s="117">
        <f>+V264*E263*0.2</f>
        <v>457000</v>
      </c>
      <c r="X264" s="116"/>
      <c r="Y264" s="117">
        <f t="shared" si="67"/>
        <v>0</v>
      </c>
      <c r="Z264" s="116"/>
      <c r="AA264" s="117">
        <f t="shared" si="131"/>
        <v>0</v>
      </c>
      <c r="AB264" s="116"/>
      <c r="AC264" s="117">
        <f t="shared" si="29"/>
        <v>0</v>
      </c>
      <c r="AD264" s="116"/>
      <c r="AE264" s="117">
        <f t="shared" si="114"/>
        <v>0</v>
      </c>
      <c r="AF264" s="116"/>
      <c r="AG264" s="118">
        <f t="shared" si="33"/>
        <v>0</v>
      </c>
      <c r="AH264" s="224"/>
      <c r="AI264" s="227"/>
      <c r="AJ264" s="227"/>
      <c r="AK264" s="150">
        <f t="shared" ref="AK264:AL279" si="135">F264+H264+L264+P264+T264+X264+AB264+AF264</f>
        <v>0</v>
      </c>
      <c r="AL264" s="119">
        <f t="shared" si="135"/>
        <v>0</v>
      </c>
      <c r="AM264" s="120">
        <f t="shared" si="100"/>
        <v>0</v>
      </c>
      <c r="AN264" s="120">
        <v>0</v>
      </c>
      <c r="AO264" s="164">
        <f t="shared" si="101"/>
        <v>0</v>
      </c>
      <c r="AP264" s="150">
        <v>0</v>
      </c>
      <c r="AQ264" s="119">
        <f t="shared" si="102"/>
        <v>0</v>
      </c>
      <c r="AR264" s="150">
        <f t="shared" ref="AR264:AR327" si="136">AK264-AP264</f>
        <v>0</v>
      </c>
      <c r="AS264" s="165">
        <f t="shared" si="103"/>
        <v>0</v>
      </c>
      <c r="AT264" s="181"/>
      <c r="AU264" s="167">
        <f t="shared" si="104"/>
        <v>0</v>
      </c>
      <c r="AV264" s="121"/>
      <c r="AW264" s="121"/>
      <c r="AX264" s="121"/>
      <c r="AY264" s="121"/>
      <c r="AZ264" s="121"/>
      <c r="BA264" s="121"/>
      <c r="BB264" s="121"/>
      <c r="BC264" s="121"/>
      <c r="BD264" s="121"/>
      <c r="BE264" s="121"/>
      <c r="BF264" s="121"/>
      <c r="BG264" s="121"/>
    </row>
    <row r="265" spans="1:59" s="122" customFormat="1" ht="15" customHeight="1">
      <c r="A265" s="113" t="s">
        <v>180</v>
      </c>
      <c r="B265" s="128" t="s">
        <v>181</v>
      </c>
      <c r="C265" s="129"/>
      <c r="D265" s="130"/>
      <c r="E265" s="117"/>
      <c r="F265" s="116"/>
      <c r="G265" s="117">
        <f t="shared" si="115"/>
        <v>0</v>
      </c>
      <c r="H265" s="116"/>
      <c r="I265" s="117"/>
      <c r="J265" s="116"/>
      <c r="K265" s="117">
        <f t="shared" si="132"/>
        <v>0</v>
      </c>
      <c r="L265" s="116"/>
      <c r="M265" s="117">
        <f t="shared" si="133"/>
        <v>0</v>
      </c>
      <c r="N265" s="116"/>
      <c r="O265" s="117">
        <f t="shared" si="93"/>
        <v>0</v>
      </c>
      <c r="P265" s="116"/>
      <c r="Q265" s="117">
        <f t="shared" si="20"/>
        <v>0</v>
      </c>
      <c r="R265" s="116"/>
      <c r="S265" s="117">
        <f t="shared" si="134"/>
        <v>0</v>
      </c>
      <c r="T265" s="116"/>
      <c r="U265" s="117">
        <f t="shared" si="27"/>
        <v>0</v>
      </c>
      <c r="V265" s="116"/>
      <c r="W265" s="117">
        <f>+V265*E265</f>
        <v>0</v>
      </c>
      <c r="X265" s="116"/>
      <c r="Y265" s="117">
        <f t="shared" si="67"/>
        <v>0</v>
      </c>
      <c r="Z265" s="116"/>
      <c r="AA265" s="117">
        <f t="shared" si="131"/>
        <v>0</v>
      </c>
      <c r="AB265" s="116"/>
      <c r="AC265" s="117">
        <f t="shared" si="29"/>
        <v>0</v>
      </c>
      <c r="AD265" s="116"/>
      <c r="AE265" s="117">
        <f t="shared" si="114"/>
        <v>0</v>
      </c>
      <c r="AF265" s="116"/>
      <c r="AG265" s="118">
        <f t="shared" si="33"/>
        <v>0</v>
      </c>
      <c r="AH265" s="224"/>
      <c r="AI265" s="227"/>
      <c r="AJ265" s="227"/>
      <c r="AK265" s="150">
        <f t="shared" si="135"/>
        <v>0</v>
      </c>
      <c r="AL265" s="119">
        <f t="shared" si="135"/>
        <v>0</v>
      </c>
      <c r="AM265" s="120">
        <f t="shared" ref="AM265:AM328" si="137">F265+H265+L265+P265+T265+X265+AB265+AF265</f>
        <v>0</v>
      </c>
      <c r="AN265" s="120">
        <v>0</v>
      </c>
      <c r="AO265" s="164">
        <f t="shared" ref="AO265:AO328" si="138">AM265-AN265</f>
        <v>0</v>
      </c>
      <c r="AP265" s="150">
        <v>0</v>
      </c>
      <c r="AQ265" s="119">
        <f t="shared" ref="AQ265:AQ328" si="139">AP265*E265</f>
        <v>0</v>
      </c>
      <c r="AR265" s="150">
        <f t="shared" si="136"/>
        <v>0</v>
      </c>
      <c r="AS265" s="165">
        <f t="shared" ref="AS265:AS328" si="140">AR265*E265</f>
        <v>0</v>
      </c>
      <c r="AT265" s="181"/>
      <c r="AU265" s="167">
        <f t="shared" ref="AU265:AU328" si="141">AT265*E265</f>
        <v>0</v>
      </c>
      <c r="AV265" s="121"/>
      <c r="AW265" s="121"/>
      <c r="AX265" s="121"/>
      <c r="AY265" s="121"/>
      <c r="AZ265" s="121"/>
      <c r="BA265" s="121"/>
      <c r="BB265" s="121"/>
      <c r="BC265" s="121"/>
      <c r="BD265" s="121"/>
      <c r="BE265" s="121"/>
      <c r="BF265" s="121"/>
      <c r="BG265" s="121"/>
    </row>
    <row r="266" spans="1:59" s="122" customFormat="1" ht="15" customHeight="1">
      <c r="A266" s="113"/>
      <c r="B266" s="114" t="s">
        <v>182</v>
      </c>
      <c r="C266" s="115"/>
      <c r="D266" s="116">
        <f>W266/E266</f>
        <v>0</v>
      </c>
      <c r="E266" s="117">
        <f>1600000*0.55</f>
        <v>880000.00000000012</v>
      </c>
      <c r="F266" s="116"/>
      <c r="G266" s="117">
        <f t="shared" si="115"/>
        <v>0</v>
      </c>
      <c r="H266" s="116"/>
      <c r="I266" s="117">
        <f>+H266*$E266</f>
        <v>0</v>
      </c>
      <c r="J266" s="116">
        <v>1</v>
      </c>
      <c r="K266" s="117">
        <f>+J266*$E266*0.8</f>
        <v>704000.00000000012</v>
      </c>
      <c r="L266" s="116">
        <v>1</v>
      </c>
      <c r="M266" s="117">
        <f>L266*E266*0.8</f>
        <v>704000.00000000012</v>
      </c>
      <c r="N266" s="116"/>
      <c r="O266" s="117">
        <f t="shared" si="93"/>
        <v>0</v>
      </c>
      <c r="P266" s="116"/>
      <c r="Q266" s="117">
        <f t="shared" si="20"/>
        <v>0</v>
      </c>
      <c r="R266" s="116"/>
      <c r="S266" s="117">
        <f>+R266*$E266*0.8</f>
        <v>0</v>
      </c>
      <c r="T266" s="116"/>
      <c r="U266" s="117">
        <f t="shared" si="27"/>
        <v>0</v>
      </c>
      <c r="V266" s="116"/>
      <c r="W266" s="117">
        <f>+V266*E266*0.8</f>
        <v>0</v>
      </c>
      <c r="X266" s="116"/>
      <c r="Y266" s="117">
        <f t="shared" si="67"/>
        <v>0</v>
      </c>
      <c r="Z266" s="116"/>
      <c r="AA266" s="117">
        <f t="shared" si="131"/>
        <v>0</v>
      </c>
      <c r="AB266" s="116"/>
      <c r="AC266" s="117">
        <f t="shared" si="29"/>
        <v>0</v>
      </c>
      <c r="AD266" s="116"/>
      <c r="AE266" s="117">
        <f t="shared" si="114"/>
        <v>0</v>
      </c>
      <c r="AF266" s="116"/>
      <c r="AG266" s="118">
        <f t="shared" si="33"/>
        <v>0</v>
      </c>
      <c r="AH266" s="224"/>
      <c r="AI266" s="227"/>
      <c r="AJ266" s="227"/>
      <c r="AK266" s="150">
        <f t="shared" si="135"/>
        <v>1</v>
      </c>
      <c r="AL266" s="119">
        <f t="shared" si="135"/>
        <v>704000.00000000012</v>
      </c>
      <c r="AM266" s="120">
        <f t="shared" si="137"/>
        <v>1</v>
      </c>
      <c r="AN266" s="120">
        <v>1</v>
      </c>
      <c r="AO266" s="164">
        <f t="shared" si="138"/>
        <v>0</v>
      </c>
      <c r="AP266" s="150">
        <v>1</v>
      </c>
      <c r="AQ266" s="119">
        <f>AP266*E266*0.8</f>
        <v>704000.00000000012</v>
      </c>
      <c r="AR266" s="150">
        <f t="shared" si="136"/>
        <v>0</v>
      </c>
      <c r="AS266" s="165">
        <f t="shared" si="140"/>
        <v>0</v>
      </c>
      <c r="AT266" s="181"/>
      <c r="AU266" s="167">
        <f t="shared" si="141"/>
        <v>0</v>
      </c>
      <c r="AV266" s="121"/>
      <c r="AW266" s="121"/>
      <c r="AX266" s="121"/>
      <c r="AY266" s="121"/>
      <c r="AZ266" s="121"/>
      <c r="BA266" s="121"/>
      <c r="BB266" s="121"/>
      <c r="BC266" s="121"/>
      <c r="BD266" s="121"/>
      <c r="BE266" s="121"/>
      <c r="BF266" s="121"/>
      <c r="BG266" s="121"/>
    </row>
    <row r="267" spans="1:59" s="122" customFormat="1" ht="15" customHeight="1">
      <c r="A267" s="113"/>
      <c r="B267" s="114" t="s">
        <v>183</v>
      </c>
      <c r="C267" s="115"/>
      <c r="D267" s="116">
        <f>AA267/E266</f>
        <v>0.2</v>
      </c>
      <c r="E267" s="117"/>
      <c r="F267" s="116"/>
      <c r="G267" s="117">
        <f t="shared" si="115"/>
        <v>0</v>
      </c>
      <c r="H267" s="116"/>
      <c r="I267" s="117"/>
      <c r="J267" s="116"/>
      <c r="K267" s="117">
        <f t="shared" ref="K267:K276" si="142">+J267*$E267</f>
        <v>0</v>
      </c>
      <c r="L267" s="116"/>
      <c r="M267" s="117">
        <f t="shared" ref="M267:M276" si="143">L267*E267</f>
        <v>0</v>
      </c>
      <c r="N267" s="116"/>
      <c r="O267" s="117">
        <f t="shared" si="93"/>
        <v>0</v>
      </c>
      <c r="P267" s="116"/>
      <c r="Q267" s="117">
        <f t="shared" si="20"/>
        <v>0</v>
      </c>
      <c r="R267" s="116"/>
      <c r="S267" s="117">
        <f t="shared" ref="S267:S278" si="144">+R267*$E267</f>
        <v>0</v>
      </c>
      <c r="T267" s="116"/>
      <c r="U267" s="117">
        <f t="shared" si="27"/>
        <v>0</v>
      </c>
      <c r="V267" s="116"/>
      <c r="W267" s="117">
        <f t="shared" ref="W267:W274" si="145">+V267*E267</f>
        <v>0</v>
      </c>
      <c r="X267" s="116"/>
      <c r="Y267" s="117">
        <f t="shared" si="67"/>
        <v>0</v>
      </c>
      <c r="Z267" s="116">
        <v>1</v>
      </c>
      <c r="AA267" s="117">
        <f>+Z267*E266*0.2</f>
        <v>176000.00000000003</v>
      </c>
      <c r="AB267" s="116"/>
      <c r="AC267" s="117">
        <f t="shared" si="29"/>
        <v>0</v>
      </c>
      <c r="AD267" s="116"/>
      <c r="AE267" s="117">
        <f t="shared" si="114"/>
        <v>0</v>
      </c>
      <c r="AF267" s="116"/>
      <c r="AG267" s="118">
        <f t="shared" si="33"/>
        <v>0</v>
      </c>
      <c r="AH267" s="224"/>
      <c r="AI267" s="227"/>
      <c r="AJ267" s="227"/>
      <c r="AK267" s="150">
        <f t="shared" si="135"/>
        <v>0</v>
      </c>
      <c r="AL267" s="119">
        <f t="shared" si="135"/>
        <v>0</v>
      </c>
      <c r="AM267" s="120">
        <f t="shared" si="137"/>
        <v>0</v>
      </c>
      <c r="AN267" s="120">
        <v>0</v>
      </c>
      <c r="AO267" s="164">
        <f t="shared" si="138"/>
        <v>0</v>
      </c>
      <c r="AP267" s="150">
        <v>0</v>
      </c>
      <c r="AQ267" s="119">
        <f t="shared" si="139"/>
        <v>0</v>
      </c>
      <c r="AR267" s="150">
        <f t="shared" si="136"/>
        <v>0</v>
      </c>
      <c r="AS267" s="165">
        <f t="shared" si="140"/>
        <v>0</v>
      </c>
      <c r="AT267" s="181"/>
      <c r="AU267" s="167">
        <f t="shared" si="141"/>
        <v>0</v>
      </c>
      <c r="AV267" s="121"/>
      <c r="AW267" s="121"/>
      <c r="AX267" s="121"/>
      <c r="AY267" s="121"/>
      <c r="AZ267" s="121"/>
      <c r="BA267" s="121"/>
      <c r="BB267" s="121"/>
      <c r="BC267" s="121"/>
      <c r="BD267" s="121"/>
      <c r="BE267" s="121"/>
      <c r="BF267" s="121"/>
      <c r="BG267" s="121"/>
    </row>
    <row r="268" spans="1:59" s="122" customFormat="1" ht="15" customHeight="1">
      <c r="A268" s="113" t="s">
        <v>184</v>
      </c>
      <c r="B268" s="128" t="s">
        <v>185</v>
      </c>
      <c r="C268" s="129"/>
      <c r="D268" s="130"/>
      <c r="E268" s="117"/>
      <c r="F268" s="116"/>
      <c r="G268" s="117">
        <f t="shared" si="115"/>
        <v>0</v>
      </c>
      <c r="H268" s="116"/>
      <c r="I268" s="117"/>
      <c r="J268" s="116"/>
      <c r="K268" s="117">
        <f t="shared" si="142"/>
        <v>0</v>
      </c>
      <c r="L268" s="116"/>
      <c r="M268" s="117">
        <f t="shared" si="143"/>
        <v>0</v>
      </c>
      <c r="N268" s="116"/>
      <c r="O268" s="117">
        <f t="shared" si="93"/>
        <v>0</v>
      </c>
      <c r="P268" s="116"/>
      <c r="Q268" s="117">
        <f t="shared" si="20"/>
        <v>0</v>
      </c>
      <c r="R268" s="116"/>
      <c r="S268" s="117">
        <f t="shared" si="144"/>
        <v>0</v>
      </c>
      <c r="T268" s="116"/>
      <c r="U268" s="117">
        <f t="shared" si="27"/>
        <v>0</v>
      </c>
      <c r="V268" s="116"/>
      <c r="W268" s="117">
        <f t="shared" si="145"/>
        <v>0</v>
      </c>
      <c r="X268" s="116"/>
      <c r="Y268" s="117">
        <f t="shared" si="67"/>
        <v>0</v>
      </c>
      <c r="Z268" s="116"/>
      <c r="AA268" s="117">
        <f>+Z268*$E268</f>
        <v>0</v>
      </c>
      <c r="AB268" s="116"/>
      <c r="AC268" s="117">
        <f t="shared" si="29"/>
        <v>0</v>
      </c>
      <c r="AD268" s="116"/>
      <c r="AE268" s="117">
        <f t="shared" si="114"/>
        <v>0</v>
      </c>
      <c r="AF268" s="116"/>
      <c r="AG268" s="118">
        <f t="shared" si="33"/>
        <v>0</v>
      </c>
      <c r="AH268" s="224"/>
      <c r="AI268" s="227"/>
      <c r="AJ268" s="227"/>
      <c r="AK268" s="150">
        <f t="shared" si="135"/>
        <v>0</v>
      </c>
      <c r="AL268" s="119">
        <f t="shared" si="135"/>
        <v>0</v>
      </c>
      <c r="AM268" s="120">
        <f t="shared" si="137"/>
        <v>0</v>
      </c>
      <c r="AN268" s="120">
        <v>0</v>
      </c>
      <c r="AO268" s="164">
        <f t="shared" si="138"/>
        <v>0</v>
      </c>
      <c r="AP268" s="150">
        <v>0</v>
      </c>
      <c r="AQ268" s="119">
        <f t="shared" si="139"/>
        <v>0</v>
      </c>
      <c r="AR268" s="150">
        <f t="shared" si="136"/>
        <v>0</v>
      </c>
      <c r="AS268" s="165">
        <f t="shared" si="140"/>
        <v>0</v>
      </c>
      <c r="AT268" s="181"/>
      <c r="AU268" s="167">
        <f t="shared" si="141"/>
        <v>0</v>
      </c>
      <c r="AV268" s="121"/>
      <c r="AW268" s="121"/>
      <c r="AX268" s="121"/>
      <c r="AY268" s="121"/>
      <c r="AZ268" s="121"/>
      <c r="BA268" s="121"/>
      <c r="BB268" s="121"/>
      <c r="BC268" s="121"/>
      <c r="BD268" s="121"/>
      <c r="BE268" s="121"/>
      <c r="BF268" s="121"/>
      <c r="BG268" s="121"/>
    </row>
    <row r="269" spans="1:59" s="122" customFormat="1" ht="15" customHeight="1">
      <c r="A269" s="113"/>
      <c r="B269" s="114" t="s">
        <v>186</v>
      </c>
      <c r="C269" s="115"/>
      <c r="D269" s="116">
        <f>AA269/E269</f>
        <v>0.8</v>
      </c>
      <c r="E269" s="117">
        <f>5500000*0.55</f>
        <v>3025000.0000000005</v>
      </c>
      <c r="F269" s="116"/>
      <c r="G269" s="117">
        <f t="shared" si="115"/>
        <v>0</v>
      </c>
      <c r="H269" s="116"/>
      <c r="I269" s="117"/>
      <c r="J269" s="116"/>
      <c r="K269" s="117">
        <f t="shared" si="142"/>
        <v>0</v>
      </c>
      <c r="L269" s="116"/>
      <c r="M269" s="117">
        <f t="shared" si="143"/>
        <v>0</v>
      </c>
      <c r="N269" s="116"/>
      <c r="O269" s="117">
        <f t="shared" si="93"/>
        <v>0</v>
      </c>
      <c r="P269" s="116"/>
      <c r="Q269" s="117">
        <f t="shared" ref="Q269:Q278" si="146">P269*E269</f>
        <v>0</v>
      </c>
      <c r="R269" s="116"/>
      <c r="S269" s="117">
        <f t="shared" si="144"/>
        <v>0</v>
      </c>
      <c r="T269" s="116"/>
      <c r="U269" s="117">
        <f t="shared" si="27"/>
        <v>0</v>
      </c>
      <c r="V269" s="116"/>
      <c r="W269" s="117">
        <f t="shared" si="145"/>
        <v>0</v>
      </c>
      <c r="X269" s="116"/>
      <c r="Y269" s="117">
        <f t="shared" si="67"/>
        <v>0</v>
      </c>
      <c r="Z269" s="116">
        <v>1</v>
      </c>
      <c r="AA269" s="117">
        <f>+Z269*$E269*0.8</f>
        <v>2420000.0000000005</v>
      </c>
      <c r="AB269" s="116">
        <v>1</v>
      </c>
      <c r="AC269" s="117">
        <f>AB269*E269*0.8</f>
        <v>2420000.0000000005</v>
      </c>
      <c r="AD269" s="116"/>
      <c r="AE269" s="117">
        <f t="shared" si="114"/>
        <v>0</v>
      </c>
      <c r="AF269" s="116"/>
      <c r="AG269" s="118">
        <f t="shared" si="33"/>
        <v>0</v>
      </c>
      <c r="AH269" s="224"/>
      <c r="AI269" s="227"/>
      <c r="AJ269" s="227"/>
      <c r="AK269" s="150">
        <f t="shared" si="135"/>
        <v>1</v>
      </c>
      <c r="AL269" s="119">
        <f t="shared" si="135"/>
        <v>2420000.0000000005</v>
      </c>
      <c r="AM269" s="120">
        <f t="shared" si="137"/>
        <v>1</v>
      </c>
      <c r="AN269" s="120">
        <v>1</v>
      </c>
      <c r="AO269" s="164">
        <f t="shared" si="138"/>
        <v>0</v>
      </c>
      <c r="AP269" s="150">
        <v>0</v>
      </c>
      <c r="AQ269" s="119">
        <f t="shared" si="139"/>
        <v>0</v>
      </c>
      <c r="AR269" s="150">
        <f t="shared" si="136"/>
        <v>1</v>
      </c>
      <c r="AS269" s="165">
        <f>AR269*E269*0.8</f>
        <v>2420000.0000000005</v>
      </c>
      <c r="AT269" s="181"/>
      <c r="AU269" s="167">
        <f t="shared" si="141"/>
        <v>0</v>
      </c>
      <c r="AV269" s="121"/>
      <c r="AW269" s="121"/>
      <c r="AX269" s="121"/>
      <c r="AY269" s="121"/>
      <c r="AZ269" s="121"/>
      <c r="BA269" s="121"/>
      <c r="BB269" s="121"/>
      <c r="BC269" s="121"/>
      <c r="BD269" s="121"/>
      <c r="BE269" s="121"/>
      <c r="BF269" s="121"/>
      <c r="BG269" s="121"/>
    </row>
    <row r="270" spans="1:59" s="122" customFormat="1" ht="15" customHeight="1">
      <c r="A270" s="113"/>
      <c r="B270" s="114" t="s">
        <v>187</v>
      </c>
      <c r="C270" s="115"/>
      <c r="D270" s="116">
        <f>AE270/E269</f>
        <v>0.2</v>
      </c>
      <c r="E270" s="117"/>
      <c r="F270" s="116"/>
      <c r="G270" s="117">
        <f t="shared" si="115"/>
        <v>0</v>
      </c>
      <c r="H270" s="116"/>
      <c r="I270" s="117"/>
      <c r="J270" s="116"/>
      <c r="K270" s="117">
        <f t="shared" si="142"/>
        <v>0</v>
      </c>
      <c r="L270" s="116"/>
      <c r="M270" s="117">
        <f t="shared" si="143"/>
        <v>0</v>
      </c>
      <c r="N270" s="116"/>
      <c r="O270" s="117">
        <f t="shared" si="93"/>
        <v>0</v>
      </c>
      <c r="P270" s="116"/>
      <c r="Q270" s="117">
        <f t="shared" si="146"/>
        <v>0</v>
      </c>
      <c r="R270" s="116"/>
      <c r="S270" s="117">
        <f t="shared" si="144"/>
        <v>0</v>
      </c>
      <c r="T270" s="116"/>
      <c r="U270" s="117">
        <f t="shared" si="27"/>
        <v>0</v>
      </c>
      <c r="V270" s="116"/>
      <c r="W270" s="117">
        <f t="shared" si="145"/>
        <v>0</v>
      </c>
      <c r="X270" s="116"/>
      <c r="Y270" s="117">
        <f t="shared" si="67"/>
        <v>0</v>
      </c>
      <c r="Z270" s="116"/>
      <c r="AA270" s="117">
        <f t="shared" ref="AA270:AA271" si="147">+Z270*$E270</f>
        <v>0</v>
      </c>
      <c r="AB270" s="116"/>
      <c r="AC270" s="117">
        <f t="shared" si="29"/>
        <v>0</v>
      </c>
      <c r="AD270" s="116">
        <v>1</v>
      </c>
      <c r="AE270" s="117">
        <f>+AD270*E269*0.2</f>
        <v>605000.00000000012</v>
      </c>
      <c r="AF270" s="116"/>
      <c r="AG270" s="118">
        <f t="shared" si="33"/>
        <v>0</v>
      </c>
      <c r="AH270" s="224"/>
      <c r="AI270" s="227"/>
      <c r="AJ270" s="227"/>
      <c r="AK270" s="150">
        <f t="shared" si="135"/>
        <v>0</v>
      </c>
      <c r="AL270" s="119">
        <f t="shared" si="135"/>
        <v>0</v>
      </c>
      <c r="AM270" s="120">
        <f t="shared" si="137"/>
        <v>0</v>
      </c>
      <c r="AN270" s="120">
        <v>0</v>
      </c>
      <c r="AO270" s="164">
        <f t="shared" si="138"/>
        <v>0</v>
      </c>
      <c r="AP270" s="150">
        <v>0</v>
      </c>
      <c r="AQ270" s="119">
        <f t="shared" si="139"/>
        <v>0</v>
      </c>
      <c r="AR270" s="150">
        <f t="shared" si="136"/>
        <v>0</v>
      </c>
      <c r="AS270" s="165">
        <f t="shared" si="140"/>
        <v>0</v>
      </c>
      <c r="AT270" s="181"/>
      <c r="AU270" s="167">
        <f t="shared" si="141"/>
        <v>0</v>
      </c>
      <c r="AV270" s="121"/>
      <c r="AW270" s="121"/>
      <c r="AX270" s="121"/>
      <c r="AY270" s="121"/>
      <c r="AZ270" s="121"/>
      <c r="BA270" s="121"/>
      <c r="BB270" s="121"/>
      <c r="BC270" s="121"/>
      <c r="BD270" s="121"/>
      <c r="BE270" s="121"/>
      <c r="BF270" s="121"/>
      <c r="BG270" s="121"/>
    </row>
    <row r="271" spans="1:59" s="122" customFormat="1" ht="15" customHeight="1">
      <c r="A271" s="113" t="s">
        <v>188</v>
      </c>
      <c r="B271" s="128" t="s">
        <v>189</v>
      </c>
      <c r="C271" s="129"/>
      <c r="D271" s="130"/>
      <c r="E271" s="117"/>
      <c r="F271" s="116"/>
      <c r="G271" s="117">
        <f t="shared" si="115"/>
        <v>0</v>
      </c>
      <c r="H271" s="116"/>
      <c r="I271" s="117"/>
      <c r="J271" s="116"/>
      <c r="K271" s="117">
        <f t="shared" si="142"/>
        <v>0</v>
      </c>
      <c r="L271" s="116"/>
      <c r="M271" s="117">
        <f t="shared" si="143"/>
        <v>0</v>
      </c>
      <c r="N271" s="116"/>
      <c r="O271" s="117">
        <f t="shared" si="93"/>
        <v>0</v>
      </c>
      <c r="P271" s="116"/>
      <c r="Q271" s="117">
        <f t="shared" si="146"/>
        <v>0</v>
      </c>
      <c r="R271" s="116"/>
      <c r="S271" s="117">
        <f t="shared" si="144"/>
        <v>0</v>
      </c>
      <c r="T271" s="116"/>
      <c r="U271" s="117">
        <f t="shared" si="27"/>
        <v>0</v>
      </c>
      <c r="V271" s="116"/>
      <c r="W271" s="117">
        <f t="shared" si="145"/>
        <v>0</v>
      </c>
      <c r="X271" s="116"/>
      <c r="Y271" s="117">
        <f t="shared" si="67"/>
        <v>0</v>
      </c>
      <c r="Z271" s="116"/>
      <c r="AA271" s="117">
        <f t="shared" si="147"/>
        <v>0</v>
      </c>
      <c r="AB271" s="116"/>
      <c r="AC271" s="117">
        <f t="shared" si="29"/>
        <v>0</v>
      </c>
      <c r="AD271" s="116"/>
      <c r="AE271" s="117">
        <f t="shared" ref="AE271:AE275" si="148">+AD271*E271</f>
        <v>0</v>
      </c>
      <c r="AF271" s="116"/>
      <c r="AG271" s="118">
        <f t="shared" si="33"/>
        <v>0</v>
      </c>
      <c r="AH271" s="224"/>
      <c r="AI271" s="227"/>
      <c r="AJ271" s="227"/>
      <c r="AK271" s="150">
        <f t="shared" si="135"/>
        <v>0</v>
      </c>
      <c r="AL271" s="119">
        <f t="shared" si="135"/>
        <v>0</v>
      </c>
      <c r="AM271" s="120">
        <f t="shared" si="137"/>
        <v>0</v>
      </c>
      <c r="AN271" s="120">
        <v>0</v>
      </c>
      <c r="AO271" s="164">
        <f t="shared" si="138"/>
        <v>0</v>
      </c>
      <c r="AP271" s="150">
        <v>0</v>
      </c>
      <c r="AQ271" s="119">
        <f t="shared" si="139"/>
        <v>0</v>
      </c>
      <c r="AR271" s="150">
        <f t="shared" si="136"/>
        <v>0</v>
      </c>
      <c r="AS271" s="165">
        <f t="shared" si="140"/>
        <v>0</v>
      </c>
      <c r="AT271" s="181"/>
      <c r="AU271" s="167">
        <f t="shared" si="141"/>
        <v>0</v>
      </c>
      <c r="AV271" s="121"/>
      <c r="AW271" s="121"/>
      <c r="AX271" s="121"/>
      <c r="AY271" s="121"/>
      <c r="AZ271" s="121"/>
      <c r="BA271" s="121"/>
      <c r="BB271" s="121"/>
      <c r="BC271" s="121"/>
      <c r="BD271" s="121"/>
      <c r="BE271" s="121"/>
      <c r="BF271" s="121"/>
      <c r="BG271" s="121"/>
    </row>
    <row r="272" spans="1:59" s="122" customFormat="1" ht="15" customHeight="1">
      <c r="A272" s="113"/>
      <c r="B272" s="114" t="s">
        <v>190</v>
      </c>
      <c r="C272" s="115"/>
      <c r="D272" s="116">
        <f>AA272/E272</f>
        <v>0.8</v>
      </c>
      <c r="E272" s="117">
        <v>3875000</v>
      </c>
      <c r="F272" s="116"/>
      <c r="G272" s="117">
        <f t="shared" si="115"/>
        <v>0</v>
      </c>
      <c r="H272" s="116"/>
      <c r="I272" s="117"/>
      <c r="J272" s="116"/>
      <c r="K272" s="117">
        <f t="shared" si="142"/>
        <v>0</v>
      </c>
      <c r="L272" s="116"/>
      <c r="M272" s="117">
        <f t="shared" si="143"/>
        <v>0</v>
      </c>
      <c r="N272" s="116"/>
      <c r="O272" s="117">
        <f t="shared" si="93"/>
        <v>0</v>
      </c>
      <c r="P272" s="116"/>
      <c r="Q272" s="117">
        <f t="shared" si="146"/>
        <v>0</v>
      </c>
      <c r="R272" s="116"/>
      <c r="S272" s="117">
        <f t="shared" si="144"/>
        <v>0</v>
      </c>
      <c r="T272" s="116"/>
      <c r="U272" s="117">
        <f t="shared" si="27"/>
        <v>0</v>
      </c>
      <c r="V272" s="116"/>
      <c r="W272" s="117">
        <f t="shared" si="145"/>
        <v>0</v>
      </c>
      <c r="X272" s="116"/>
      <c r="Y272" s="117">
        <f t="shared" si="67"/>
        <v>0</v>
      </c>
      <c r="Z272" s="116">
        <v>1</v>
      </c>
      <c r="AA272" s="117">
        <f>+Z272*$E272*0.8</f>
        <v>3100000</v>
      </c>
      <c r="AB272" s="123">
        <v>1</v>
      </c>
      <c r="AC272" s="117">
        <f>AB272*E272*0.8</f>
        <v>3100000</v>
      </c>
      <c r="AD272" s="116"/>
      <c r="AE272" s="117">
        <f t="shared" si="148"/>
        <v>0</v>
      </c>
      <c r="AF272" s="116"/>
      <c r="AG272" s="118">
        <f t="shared" si="33"/>
        <v>0</v>
      </c>
      <c r="AH272" s="224"/>
      <c r="AI272" s="227"/>
      <c r="AJ272" s="227"/>
      <c r="AK272" s="150">
        <f t="shared" si="135"/>
        <v>1</v>
      </c>
      <c r="AL272" s="119">
        <f t="shared" si="135"/>
        <v>3100000</v>
      </c>
      <c r="AM272" s="120">
        <f t="shared" si="137"/>
        <v>1</v>
      </c>
      <c r="AN272" s="120">
        <v>1</v>
      </c>
      <c r="AO272" s="164">
        <f t="shared" si="138"/>
        <v>0</v>
      </c>
      <c r="AP272" s="150">
        <v>1</v>
      </c>
      <c r="AQ272" s="119">
        <f>AP272*E272*0.8</f>
        <v>3100000</v>
      </c>
      <c r="AR272" s="150">
        <f t="shared" si="136"/>
        <v>0</v>
      </c>
      <c r="AS272" s="165">
        <f t="shared" si="140"/>
        <v>0</v>
      </c>
      <c r="AT272" s="181"/>
      <c r="AU272" s="167">
        <f t="shared" si="141"/>
        <v>0</v>
      </c>
      <c r="AV272" s="121"/>
      <c r="AW272" s="121"/>
      <c r="AX272" s="121"/>
      <c r="AY272" s="121"/>
      <c r="AZ272" s="121"/>
      <c r="BA272" s="121"/>
      <c r="BB272" s="121"/>
      <c r="BC272" s="121"/>
      <c r="BD272" s="121"/>
      <c r="BE272" s="121"/>
      <c r="BF272" s="121"/>
      <c r="BG272" s="121"/>
    </row>
    <row r="273" spans="1:59" s="122" customFormat="1" ht="15" customHeight="1">
      <c r="A273" s="113"/>
      <c r="B273" s="114" t="s">
        <v>191</v>
      </c>
      <c r="C273" s="115"/>
      <c r="D273" s="116">
        <f>AA273/E272</f>
        <v>0.2</v>
      </c>
      <c r="E273" s="117"/>
      <c r="F273" s="116"/>
      <c r="G273" s="117">
        <f t="shared" si="115"/>
        <v>0</v>
      </c>
      <c r="H273" s="116"/>
      <c r="I273" s="117"/>
      <c r="J273" s="116"/>
      <c r="K273" s="117">
        <f t="shared" si="142"/>
        <v>0</v>
      </c>
      <c r="L273" s="116"/>
      <c r="M273" s="117">
        <f t="shared" si="143"/>
        <v>0</v>
      </c>
      <c r="N273" s="116"/>
      <c r="O273" s="117">
        <f t="shared" si="93"/>
        <v>0</v>
      </c>
      <c r="P273" s="116"/>
      <c r="Q273" s="117">
        <f t="shared" si="146"/>
        <v>0</v>
      </c>
      <c r="R273" s="116"/>
      <c r="S273" s="117">
        <f t="shared" si="144"/>
        <v>0</v>
      </c>
      <c r="T273" s="116"/>
      <c r="U273" s="117">
        <f t="shared" si="27"/>
        <v>0</v>
      </c>
      <c r="V273" s="116"/>
      <c r="W273" s="117">
        <f t="shared" si="145"/>
        <v>0</v>
      </c>
      <c r="X273" s="116"/>
      <c r="Y273" s="117">
        <f t="shared" si="67"/>
        <v>0</v>
      </c>
      <c r="Z273" s="116">
        <v>1</v>
      </c>
      <c r="AA273" s="117">
        <f>+Z273*$E272*0.2</f>
        <v>775000</v>
      </c>
      <c r="AB273" s="116"/>
      <c r="AC273" s="117">
        <f t="shared" ref="AC273:AC333" si="149">AB273*E273</f>
        <v>0</v>
      </c>
      <c r="AD273" s="116"/>
      <c r="AE273" s="117">
        <f t="shared" si="148"/>
        <v>0</v>
      </c>
      <c r="AF273" s="116"/>
      <c r="AG273" s="118">
        <f t="shared" si="33"/>
        <v>0</v>
      </c>
      <c r="AH273" s="224"/>
      <c r="AI273" s="227"/>
      <c r="AJ273" s="227"/>
      <c r="AK273" s="150">
        <f t="shared" si="135"/>
        <v>0</v>
      </c>
      <c r="AL273" s="119">
        <f t="shared" si="135"/>
        <v>0</v>
      </c>
      <c r="AM273" s="120">
        <f t="shared" si="137"/>
        <v>0</v>
      </c>
      <c r="AN273" s="120">
        <v>0</v>
      </c>
      <c r="AO273" s="164">
        <f t="shared" si="138"/>
        <v>0</v>
      </c>
      <c r="AP273" s="150">
        <v>0</v>
      </c>
      <c r="AQ273" s="119">
        <f t="shared" si="139"/>
        <v>0</v>
      </c>
      <c r="AR273" s="150">
        <f t="shared" si="136"/>
        <v>0</v>
      </c>
      <c r="AS273" s="165">
        <f t="shared" si="140"/>
        <v>0</v>
      </c>
      <c r="AT273" s="181"/>
      <c r="AU273" s="167">
        <f t="shared" si="141"/>
        <v>0</v>
      </c>
      <c r="AV273" s="121"/>
      <c r="AW273" s="121"/>
      <c r="AX273" s="121"/>
      <c r="AY273" s="121"/>
      <c r="AZ273" s="121"/>
      <c r="BA273" s="121"/>
      <c r="BB273" s="121"/>
      <c r="BC273" s="121"/>
      <c r="BD273" s="121"/>
      <c r="BE273" s="121"/>
      <c r="BF273" s="121"/>
      <c r="BG273" s="121"/>
    </row>
    <row r="274" spans="1:59" s="122" customFormat="1" ht="15" customHeight="1">
      <c r="A274" s="113" t="s">
        <v>192</v>
      </c>
      <c r="B274" s="128" t="s">
        <v>193</v>
      </c>
      <c r="C274" s="129"/>
      <c r="D274" s="130"/>
      <c r="E274" s="117"/>
      <c r="F274" s="116"/>
      <c r="G274" s="117">
        <f t="shared" si="115"/>
        <v>0</v>
      </c>
      <c r="H274" s="116"/>
      <c r="I274" s="117"/>
      <c r="J274" s="116"/>
      <c r="K274" s="117">
        <f t="shared" si="142"/>
        <v>0</v>
      </c>
      <c r="L274" s="116"/>
      <c r="M274" s="117">
        <f t="shared" si="143"/>
        <v>0</v>
      </c>
      <c r="N274" s="116"/>
      <c r="O274" s="117">
        <f t="shared" si="93"/>
        <v>0</v>
      </c>
      <c r="P274" s="116"/>
      <c r="Q274" s="117">
        <f t="shared" si="146"/>
        <v>0</v>
      </c>
      <c r="R274" s="116"/>
      <c r="S274" s="117">
        <f t="shared" si="144"/>
        <v>0</v>
      </c>
      <c r="T274" s="116"/>
      <c r="U274" s="117">
        <f t="shared" si="27"/>
        <v>0</v>
      </c>
      <c r="V274" s="116"/>
      <c r="W274" s="117">
        <f t="shared" si="145"/>
        <v>0</v>
      </c>
      <c r="X274" s="116"/>
      <c r="Y274" s="117">
        <f t="shared" si="67"/>
        <v>0</v>
      </c>
      <c r="Z274" s="116"/>
      <c r="AA274" s="117">
        <f t="shared" ref="AA274:AA280" si="150">+Z274*$E274</f>
        <v>0</v>
      </c>
      <c r="AB274" s="116"/>
      <c r="AC274" s="117">
        <f t="shared" si="149"/>
        <v>0</v>
      </c>
      <c r="AD274" s="116"/>
      <c r="AE274" s="117">
        <f t="shared" si="148"/>
        <v>0</v>
      </c>
      <c r="AF274" s="116"/>
      <c r="AG274" s="118">
        <f t="shared" si="33"/>
        <v>0</v>
      </c>
      <c r="AH274" s="224"/>
      <c r="AI274" s="227"/>
      <c r="AJ274" s="227"/>
      <c r="AK274" s="150">
        <f t="shared" si="135"/>
        <v>0</v>
      </c>
      <c r="AL274" s="119">
        <f t="shared" si="135"/>
        <v>0</v>
      </c>
      <c r="AM274" s="120">
        <f t="shared" si="137"/>
        <v>0</v>
      </c>
      <c r="AN274" s="120">
        <v>0</v>
      </c>
      <c r="AO274" s="164">
        <f t="shared" si="138"/>
        <v>0</v>
      </c>
      <c r="AP274" s="150">
        <v>0</v>
      </c>
      <c r="AQ274" s="119">
        <f t="shared" si="139"/>
        <v>0</v>
      </c>
      <c r="AR274" s="150">
        <f t="shared" si="136"/>
        <v>0</v>
      </c>
      <c r="AS274" s="165">
        <f t="shared" si="140"/>
        <v>0</v>
      </c>
      <c r="AT274" s="181"/>
      <c r="AU274" s="167">
        <f t="shared" si="141"/>
        <v>0</v>
      </c>
      <c r="AV274" s="121"/>
      <c r="AW274" s="121"/>
      <c r="AX274" s="121"/>
      <c r="AY274" s="121"/>
      <c r="AZ274" s="121"/>
      <c r="BA274" s="121"/>
      <c r="BB274" s="121"/>
      <c r="BC274" s="121"/>
      <c r="BD274" s="121"/>
      <c r="BE274" s="121"/>
      <c r="BF274" s="121"/>
      <c r="BG274" s="121"/>
    </row>
    <row r="275" spans="1:59" s="177" customFormat="1" ht="15" customHeight="1">
      <c r="A275" s="168"/>
      <c r="B275" s="169" t="s">
        <v>194</v>
      </c>
      <c r="C275" s="170"/>
      <c r="D275" s="171">
        <f>K275/E275</f>
        <v>0</v>
      </c>
      <c r="E275" s="172">
        <f>7600000*0.55</f>
        <v>4180000.0000000005</v>
      </c>
      <c r="F275" s="171"/>
      <c r="G275" s="172">
        <f t="shared" si="115"/>
        <v>0</v>
      </c>
      <c r="H275" s="171"/>
      <c r="I275" s="172">
        <f>+H275*E275*0.8</f>
        <v>0</v>
      </c>
      <c r="J275" s="171"/>
      <c r="K275" s="172">
        <f t="shared" si="142"/>
        <v>0</v>
      </c>
      <c r="L275" s="171"/>
      <c r="M275" s="172">
        <f t="shared" si="143"/>
        <v>0</v>
      </c>
      <c r="N275" s="171">
        <v>1</v>
      </c>
      <c r="O275" s="172">
        <f>+N275*$E275*0.8</f>
        <v>3344000.0000000005</v>
      </c>
      <c r="P275" s="171"/>
      <c r="Q275" s="172">
        <f t="shared" si="146"/>
        <v>0</v>
      </c>
      <c r="R275" s="171"/>
      <c r="S275" s="172">
        <f t="shared" si="144"/>
        <v>0</v>
      </c>
      <c r="T275" s="171"/>
      <c r="U275" s="172">
        <f t="shared" si="27"/>
        <v>0</v>
      </c>
      <c r="V275" s="171"/>
      <c r="W275" s="172">
        <f>+V275*E275*0.8</f>
        <v>0</v>
      </c>
      <c r="X275" s="171"/>
      <c r="Y275" s="172">
        <f t="shared" si="67"/>
        <v>0</v>
      </c>
      <c r="Z275" s="171"/>
      <c r="AA275" s="172">
        <f t="shared" si="150"/>
        <v>0</v>
      </c>
      <c r="AB275" s="171"/>
      <c r="AC275" s="172">
        <f t="shared" si="149"/>
        <v>0</v>
      </c>
      <c r="AD275" s="171"/>
      <c r="AE275" s="172">
        <f t="shared" si="148"/>
        <v>0</v>
      </c>
      <c r="AF275" s="171"/>
      <c r="AG275" s="173">
        <f t="shared" si="33"/>
        <v>0</v>
      </c>
      <c r="AH275" s="224"/>
      <c r="AI275" s="227"/>
      <c r="AJ275" s="227"/>
      <c r="AK275" s="174">
        <f t="shared" si="135"/>
        <v>0</v>
      </c>
      <c r="AL275" s="175">
        <f t="shared" si="135"/>
        <v>0</v>
      </c>
      <c r="AM275" s="176">
        <f t="shared" si="137"/>
        <v>0</v>
      </c>
      <c r="AN275" s="176">
        <v>0</v>
      </c>
      <c r="AO275" s="196">
        <f t="shared" si="138"/>
        <v>0</v>
      </c>
      <c r="AP275" s="174">
        <v>0</v>
      </c>
      <c r="AQ275" s="175">
        <f t="shared" si="139"/>
        <v>0</v>
      </c>
      <c r="AR275" s="174">
        <f t="shared" si="136"/>
        <v>0</v>
      </c>
      <c r="AS275" s="197">
        <f t="shared" si="140"/>
        <v>0</v>
      </c>
      <c r="AT275" s="166">
        <f>100%-AK275</f>
        <v>1</v>
      </c>
      <c r="AU275" s="198">
        <f>AT275*E275*0.8</f>
        <v>3344000.0000000005</v>
      </c>
      <c r="AV275" s="124"/>
      <c r="AW275" s="124"/>
      <c r="AX275" s="124"/>
      <c r="AY275" s="124"/>
      <c r="AZ275" s="124"/>
      <c r="BA275" s="124"/>
      <c r="BB275" s="124"/>
      <c r="BC275" s="124"/>
      <c r="BD275" s="124"/>
      <c r="BE275" s="124"/>
      <c r="BF275" s="124"/>
      <c r="BG275" s="124"/>
    </row>
    <row r="276" spans="1:59" s="122" customFormat="1" ht="15" customHeight="1">
      <c r="A276" s="113"/>
      <c r="B276" s="114" t="s">
        <v>195</v>
      </c>
      <c r="C276" s="115"/>
      <c r="D276" s="116">
        <f>AE276/E275</f>
        <v>0.2</v>
      </c>
      <c r="E276" s="117"/>
      <c r="F276" s="116"/>
      <c r="G276" s="117">
        <f t="shared" si="115"/>
        <v>0</v>
      </c>
      <c r="H276" s="116"/>
      <c r="I276" s="117"/>
      <c r="J276" s="116"/>
      <c r="K276" s="117">
        <f t="shared" si="142"/>
        <v>0</v>
      </c>
      <c r="L276" s="116"/>
      <c r="M276" s="117">
        <f t="shared" si="143"/>
        <v>0</v>
      </c>
      <c r="N276" s="116"/>
      <c r="O276" s="117">
        <f t="shared" ref="O276:O278" si="151">+N276*$E276</f>
        <v>0</v>
      </c>
      <c r="P276" s="116"/>
      <c r="Q276" s="117">
        <f t="shared" si="146"/>
        <v>0</v>
      </c>
      <c r="R276" s="116"/>
      <c r="S276" s="117">
        <f t="shared" si="144"/>
        <v>0</v>
      </c>
      <c r="T276" s="116"/>
      <c r="U276" s="117">
        <f t="shared" ref="U276:U278" si="152">T276*E276</f>
        <v>0</v>
      </c>
      <c r="V276" s="116"/>
      <c r="W276" s="117">
        <f>+V276*E276</f>
        <v>0</v>
      </c>
      <c r="X276" s="116"/>
      <c r="Y276" s="117">
        <f t="shared" si="67"/>
        <v>0</v>
      </c>
      <c r="Z276" s="116"/>
      <c r="AA276" s="117">
        <f t="shared" si="150"/>
        <v>0</v>
      </c>
      <c r="AB276" s="116"/>
      <c r="AC276" s="117">
        <f t="shared" si="149"/>
        <v>0</v>
      </c>
      <c r="AD276" s="116">
        <v>1</v>
      </c>
      <c r="AE276" s="117">
        <f>+AD276*E275*0.2</f>
        <v>836000.00000000012</v>
      </c>
      <c r="AF276" s="116"/>
      <c r="AG276" s="118">
        <f t="shared" si="33"/>
        <v>0</v>
      </c>
      <c r="AH276" s="224"/>
      <c r="AI276" s="227"/>
      <c r="AJ276" s="227"/>
      <c r="AK276" s="150">
        <f t="shared" si="135"/>
        <v>0</v>
      </c>
      <c r="AL276" s="119">
        <f t="shared" si="135"/>
        <v>0</v>
      </c>
      <c r="AM276" s="120">
        <f t="shared" si="137"/>
        <v>0</v>
      </c>
      <c r="AN276" s="120">
        <v>0</v>
      </c>
      <c r="AO276" s="164">
        <f t="shared" si="138"/>
        <v>0</v>
      </c>
      <c r="AP276" s="150">
        <v>0</v>
      </c>
      <c r="AQ276" s="119">
        <f t="shared" si="139"/>
        <v>0</v>
      </c>
      <c r="AR276" s="150">
        <f t="shared" si="136"/>
        <v>0</v>
      </c>
      <c r="AS276" s="165">
        <f t="shared" si="140"/>
        <v>0</v>
      </c>
      <c r="AT276" s="181"/>
      <c r="AU276" s="167">
        <f t="shared" si="141"/>
        <v>0</v>
      </c>
      <c r="AV276" s="121"/>
      <c r="AW276" s="121"/>
      <c r="AX276" s="121"/>
      <c r="AY276" s="121"/>
      <c r="AZ276" s="121"/>
      <c r="BA276" s="121"/>
      <c r="BB276" s="121"/>
      <c r="BC276" s="121"/>
      <c r="BD276" s="121"/>
      <c r="BE276" s="121"/>
      <c r="BF276" s="121"/>
      <c r="BG276" s="121"/>
    </row>
    <row r="277" spans="1:59" s="122" customFormat="1" ht="15" customHeight="1">
      <c r="A277" s="113"/>
      <c r="B277" s="114" t="s">
        <v>196</v>
      </c>
      <c r="C277" s="115"/>
      <c r="D277" s="116">
        <f>I277/E277</f>
        <v>0</v>
      </c>
      <c r="E277" s="117">
        <v>585000</v>
      </c>
      <c r="F277" s="116"/>
      <c r="G277" s="117">
        <f t="shared" si="115"/>
        <v>0</v>
      </c>
      <c r="H277" s="116"/>
      <c r="I277" s="117">
        <f>+H277*E277*0.8</f>
        <v>0</v>
      </c>
      <c r="J277" s="116">
        <v>1</v>
      </c>
      <c r="K277" s="117">
        <f>+J277*$E277*0.8</f>
        <v>468000</v>
      </c>
      <c r="L277" s="116">
        <v>1</v>
      </c>
      <c r="M277" s="117">
        <f>L277*E277*0.8</f>
        <v>468000</v>
      </c>
      <c r="N277" s="116"/>
      <c r="O277" s="117">
        <f t="shared" si="151"/>
        <v>0</v>
      </c>
      <c r="P277" s="116"/>
      <c r="Q277" s="117">
        <f t="shared" si="146"/>
        <v>0</v>
      </c>
      <c r="R277" s="116"/>
      <c r="S277" s="117">
        <f t="shared" si="144"/>
        <v>0</v>
      </c>
      <c r="T277" s="116"/>
      <c r="U277" s="117">
        <f t="shared" si="152"/>
        <v>0</v>
      </c>
      <c r="V277" s="116"/>
      <c r="W277" s="117">
        <f>+V277*E277*0.8</f>
        <v>0</v>
      </c>
      <c r="X277" s="116"/>
      <c r="Y277" s="117">
        <f t="shared" si="67"/>
        <v>0</v>
      </c>
      <c r="Z277" s="116"/>
      <c r="AA277" s="117">
        <f t="shared" si="150"/>
        <v>0</v>
      </c>
      <c r="AB277" s="116"/>
      <c r="AC277" s="117">
        <f t="shared" si="149"/>
        <v>0</v>
      </c>
      <c r="AD277" s="116"/>
      <c r="AE277" s="117">
        <f>+AD277*E277</f>
        <v>0</v>
      </c>
      <c r="AF277" s="116"/>
      <c r="AG277" s="118">
        <f t="shared" si="33"/>
        <v>0</v>
      </c>
      <c r="AH277" s="224"/>
      <c r="AI277" s="227"/>
      <c r="AJ277" s="227"/>
      <c r="AK277" s="150">
        <f t="shared" si="135"/>
        <v>1</v>
      </c>
      <c r="AL277" s="119">
        <f t="shared" si="135"/>
        <v>468000</v>
      </c>
      <c r="AM277" s="120">
        <f t="shared" si="137"/>
        <v>1</v>
      </c>
      <c r="AN277" s="120">
        <v>1</v>
      </c>
      <c r="AO277" s="164">
        <f t="shared" si="138"/>
        <v>0</v>
      </c>
      <c r="AP277" s="150">
        <v>1</v>
      </c>
      <c r="AQ277" s="119">
        <f>AP277*E277*0.8</f>
        <v>468000</v>
      </c>
      <c r="AR277" s="150">
        <f t="shared" si="136"/>
        <v>0</v>
      </c>
      <c r="AS277" s="165">
        <f t="shared" si="140"/>
        <v>0</v>
      </c>
      <c r="AT277" s="181"/>
      <c r="AU277" s="167">
        <f t="shared" si="141"/>
        <v>0</v>
      </c>
      <c r="AV277" s="121"/>
      <c r="AW277" s="121"/>
      <c r="AX277" s="121"/>
      <c r="AY277" s="121"/>
      <c r="AZ277" s="121"/>
      <c r="BA277" s="121"/>
      <c r="BB277" s="121"/>
      <c r="BC277" s="121"/>
      <c r="BD277" s="121"/>
      <c r="BE277" s="121"/>
      <c r="BF277" s="121"/>
      <c r="BG277" s="121"/>
    </row>
    <row r="278" spans="1:59" s="122" customFormat="1" ht="15" customHeight="1">
      <c r="A278" s="113"/>
      <c r="B278" s="114" t="s">
        <v>197</v>
      </c>
      <c r="C278" s="115"/>
      <c r="D278" s="116">
        <f>AE278/E277</f>
        <v>0.2</v>
      </c>
      <c r="E278" s="117"/>
      <c r="F278" s="116"/>
      <c r="G278" s="117">
        <f t="shared" si="115"/>
        <v>0</v>
      </c>
      <c r="H278" s="116"/>
      <c r="I278" s="117"/>
      <c r="J278" s="116"/>
      <c r="K278" s="117">
        <f t="shared" ref="K278:K291" si="153">+J278*$E278</f>
        <v>0</v>
      </c>
      <c r="L278" s="116"/>
      <c r="M278" s="117">
        <f t="shared" ref="M278:M309" si="154">L278*E278</f>
        <v>0</v>
      </c>
      <c r="N278" s="116"/>
      <c r="O278" s="117">
        <f t="shared" si="151"/>
        <v>0</v>
      </c>
      <c r="P278" s="116"/>
      <c r="Q278" s="117">
        <f t="shared" si="146"/>
        <v>0</v>
      </c>
      <c r="R278" s="116"/>
      <c r="S278" s="117">
        <f t="shared" si="144"/>
        <v>0</v>
      </c>
      <c r="T278" s="116"/>
      <c r="U278" s="117">
        <f t="shared" si="152"/>
        <v>0</v>
      </c>
      <c r="V278" s="116"/>
      <c r="W278" s="117">
        <f>+V278*E278</f>
        <v>0</v>
      </c>
      <c r="X278" s="116"/>
      <c r="Y278" s="117">
        <f t="shared" si="67"/>
        <v>0</v>
      </c>
      <c r="Z278" s="116"/>
      <c r="AA278" s="117">
        <f t="shared" si="150"/>
        <v>0</v>
      </c>
      <c r="AB278" s="116"/>
      <c r="AC278" s="117">
        <f t="shared" si="149"/>
        <v>0</v>
      </c>
      <c r="AD278" s="116">
        <v>1</v>
      </c>
      <c r="AE278" s="117">
        <f>+AD278*E277*0.2</f>
        <v>117000</v>
      </c>
      <c r="AF278" s="116"/>
      <c r="AG278" s="118">
        <f t="shared" si="33"/>
        <v>0</v>
      </c>
      <c r="AH278" s="224"/>
      <c r="AI278" s="227"/>
      <c r="AJ278" s="227"/>
      <c r="AK278" s="150">
        <f t="shared" si="135"/>
        <v>0</v>
      </c>
      <c r="AL278" s="119">
        <f t="shared" si="135"/>
        <v>0</v>
      </c>
      <c r="AM278" s="120">
        <f t="shared" si="137"/>
        <v>0</v>
      </c>
      <c r="AN278" s="120">
        <v>0</v>
      </c>
      <c r="AO278" s="164">
        <f t="shared" si="138"/>
        <v>0</v>
      </c>
      <c r="AP278" s="150">
        <v>0</v>
      </c>
      <c r="AQ278" s="119">
        <f t="shared" si="139"/>
        <v>0</v>
      </c>
      <c r="AR278" s="150">
        <f t="shared" si="136"/>
        <v>0</v>
      </c>
      <c r="AS278" s="165">
        <f t="shared" si="140"/>
        <v>0</v>
      </c>
      <c r="AT278" s="181"/>
      <c r="AU278" s="167">
        <f t="shared" si="141"/>
        <v>0</v>
      </c>
      <c r="AV278" s="121"/>
      <c r="AW278" s="121"/>
      <c r="AX278" s="121"/>
      <c r="AY278" s="121"/>
      <c r="AZ278" s="121"/>
      <c r="BA278" s="121"/>
      <c r="BB278" s="121"/>
      <c r="BC278" s="121"/>
      <c r="BD278" s="121"/>
      <c r="BE278" s="121"/>
      <c r="BF278" s="121"/>
      <c r="BG278" s="121"/>
    </row>
    <row r="279" spans="1:59" s="122" customFormat="1" ht="15" customHeight="1">
      <c r="A279" s="113"/>
      <c r="B279" s="114" t="s">
        <v>198</v>
      </c>
      <c r="C279" s="115"/>
      <c r="D279" s="116">
        <f>I279/E279</f>
        <v>0</v>
      </c>
      <c r="E279" s="117">
        <f>11600000*0.55+2300000</f>
        <v>8680000</v>
      </c>
      <c r="F279" s="116"/>
      <c r="G279" s="117">
        <f t="shared" si="115"/>
        <v>0</v>
      </c>
      <c r="H279" s="116"/>
      <c r="I279" s="117">
        <f>+H279*E279*0.8</f>
        <v>0</v>
      </c>
      <c r="J279" s="116"/>
      <c r="K279" s="117">
        <f t="shared" si="153"/>
        <v>0</v>
      </c>
      <c r="L279" s="116"/>
      <c r="M279" s="117">
        <f t="shared" si="154"/>
        <v>0</v>
      </c>
      <c r="N279" s="116">
        <v>0.5</v>
      </c>
      <c r="O279" s="117">
        <f>+N279*$E279*0.8</f>
        <v>3472000</v>
      </c>
      <c r="P279" s="116">
        <v>0.5</v>
      </c>
      <c r="Q279" s="117">
        <f>P279*E279*0.8</f>
        <v>3472000</v>
      </c>
      <c r="R279" s="116">
        <v>0.5</v>
      </c>
      <c r="S279" s="117">
        <f>+R279*$E279*0.8</f>
        <v>3472000</v>
      </c>
      <c r="T279" s="123">
        <v>0.5</v>
      </c>
      <c r="U279" s="117">
        <f>T279*E279*0.8</f>
        <v>3472000</v>
      </c>
      <c r="V279" s="116"/>
      <c r="W279" s="117">
        <f>+V279*E279*0.8</f>
        <v>0</v>
      </c>
      <c r="X279" s="116"/>
      <c r="Y279" s="117">
        <f t="shared" si="67"/>
        <v>0</v>
      </c>
      <c r="Z279" s="116"/>
      <c r="AA279" s="117">
        <f t="shared" si="150"/>
        <v>0</v>
      </c>
      <c r="AB279" s="116"/>
      <c r="AC279" s="117">
        <f t="shared" si="149"/>
        <v>0</v>
      </c>
      <c r="AD279" s="116"/>
      <c r="AE279" s="117">
        <f>+AD279*E279</f>
        <v>0</v>
      </c>
      <c r="AF279" s="116"/>
      <c r="AG279" s="118">
        <f t="shared" si="33"/>
        <v>0</v>
      </c>
      <c r="AH279" s="224"/>
      <c r="AI279" s="227"/>
      <c r="AJ279" s="227"/>
      <c r="AK279" s="150">
        <f t="shared" si="135"/>
        <v>1</v>
      </c>
      <c r="AL279" s="119">
        <f t="shared" si="135"/>
        <v>6944000</v>
      </c>
      <c r="AM279" s="120">
        <f t="shared" si="137"/>
        <v>1</v>
      </c>
      <c r="AN279" s="120">
        <v>1</v>
      </c>
      <c r="AO279" s="164">
        <f t="shared" si="138"/>
        <v>0</v>
      </c>
      <c r="AP279" s="150">
        <v>1</v>
      </c>
      <c r="AQ279" s="119">
        <f>AP279*E279*0.8</f>
        <v>6944000</v>
      </c>
      <c r="AR279" s="150">
        <f t="shared" si="136"/>
        <v>0</v>
      </c>
      <c r="AS279" s="165">
        <f t="shared" si="140"/>
        <v>0</v>
      </c>
      <c r="AT279" s="181"/>
      <c r="AU279" s="167">
        <f t="shared" si="141"/>
        <v>0</v>
      </c>
      <c r="AV279" s="121"/>
      <c r="AW279" s="121"/>
      <c r="AX279" s="121"/>
      <c r="AY279" s="121"/>
      <c r="AZ279" s="121"/>
      <c r="BA279" s="121"/>
      <c r="BB279" s="121"/>
      <c r="BC279" s="121"/>
      <c r="BD279" s="121"/>
      <c r="BE279" s="121"/>
      <c r="BF279" s="121"/>
      <c r="BG279" s="121"/>
    </row>
    <row r="280" spans="1:59" s="122" customFormat="1" ht="15" customHeight="1">
      <c r="A280" s="113"/>
      <c r="B280" s="114" t="s">
        <v>199</v>
      </c>
      <c r="C280" s="115"/>
      <c r="D280" s="116">
        <f>AE280/E279</f>
        <v>0.2</v>
      </c>
      <c r="E280" s="117"/>
      <c r="F280" s="116"/>
      <c r="G280" s="117">
        <f t="shared" si="115"/>
        <v>0</v>
      </c>
      <c r="H280" s="116"/>
      <c r="I280" s="117"/>
      <c r="J280" s="116"/>
      <c r="K280" s="117">
        <f t="shared" si="153"/>
        <v>0</v>
      </c>
      <c r="L280" s="116"/>
      <c r="M280" s="117">
        <f t="shared" si="154"/>
        <v>0</v>
      </c>
      <c r="N280" s="116"/>
      <c r="O280" s="117">
        <f t="shared" ref="O280:O281" si="155">+N280*$E280</f>
        <v>0</v>
      </c>
      <c r="P280" s="116"/>
      <c r="Q280" s="117">
        <f t="shared" ref="Q280:Q306" si="156">P280*E280</f>
        <v>0</v>
      </c>
      <c r="R280" s="116"/>
      <c r="S280" s="117">
        <f>+R280*$E280</f>
        <v>0</v>
      </c>
      <c r="T280" s="116"/>
      <c r="U280" s="117">
        <f t="shared" ref="U280:U299" si="157">T280*E280</f>
        <v>0</v>
      </c>
      <c r="V280" s="116"/>
      <c r="W280" s="117">
        <f t="shared" ref="W280:W287" si="158">+V280*E280</f>
        <v>0</v>
      </c>
      <c r="X280" s="116"/>
      <c r="Y280" s="117">
        <f t="shared" si="67"/>
        <v>0</v>
      </c>
      <c r="Z280" s="116"/>
      <c r="AA280" s="117">
        <f t="shared" si="150"/>
        <v>0</v>
      </c>
      <c r="AB280" s="116"/>
      <c r="AC280" s="117">
        <f t="shared" si="149"/>
        <v>0</v>
      </c>
      <c r="AD280" s="116">
        <v>1</v>
      </c>
      <c r="AE280" s="117">
        <f>+AD280*E279*0.2</f>
        <v>1736000</v>
      </c>
      <c r="AF280" s="116"/>
      <c r="AG280" s="118">
        <f t="shared" si="33"/>
        <v>0</v>
      </c>
      <c r="AH280" s="224"/>
      <c r="AI280" s="227"/>
      <c r="AJ280" s="227"/>
      <c r="AK280" s="150">
        <f t="shared" ref="AK280:AL295" si="159">F280+H280+L280+P280+T280+X280+AB280+AF280</f>
        <v>0</v>
      </c>
      <c r="AL280" s="119">
        <f t="shared" si="159"/>
        <v>0</v>
      </c>
      <c r="AM280" s="120">
        <f t="shared" si="137"/>
        <v>0</v>
      </c>
      <c r="AN280" s="120">
        <v>0</v>
      </c>
      <c r="AO280" s="164">
        <f t="shared" si="138"/>
        <v>0</v>
      </c>
      <c r="AP280" s="150">
        <v>0</v>
      </c>
      <c r="AQ280" s="119">
        <f t="shared" si="139"/>
        <v>0</v>
      </c>
      <c r="AR280" s="150">
        <f t="shared" si="136"/>
        <v>0</v>
      </c>
      <c r="AS280" s="165">
        <f t="shared" si="140"/>
        <v>0</v>
      </c>
      <c r="AT280" s="181"/>
      <c r="AU280" s="167">
        <f t="shared" si="141"/>
        <v>0</v>
      </c>
      <c r="AV280" s="121"/>
      <c r="AW280" s="121"/>
      <c r="AX280" s="121"/>
      <c r="AY280" s="121"/>
      <c r="AZ280" s="121"/>
      <c r="BA280" s="121"/>
      <c r="BB280" s="121"/>
      <c r="BC280" s="121"/>
      <c r="BD280" s="121"/>
      <c r="BE280" s="121"/>
      <c r="BF280" s="121"/>
      <c r="BG280" s="121"/>
    </row>
    <row r="281" spans="1:59" s="122" customFormat="1" ht="15" customHeight="1">
      <c r="A281" s="113"/>
      <c r="B281" s="114" t="s">
        <v>200</v>
      </c>
      <c r="C281" s="115"/>
      <c r="D281" s="116">
        <f>K281/E281</f>
        <v>0</v>
      </c>
      <c r="E281" s="117">
        <f t="shared" ref="E281:E282" si="160">2860000/2</f>
        <v>1430000</v>
      </c>
      <c r="F281" s="116"/>
      <c r="G281" s="117">
        <f t="shared" si="115"/>
        <v>0</v>
      </c>
      <c r="H281" s="116"/>
      <c r="I281" s="117"/>
      <c r="J281" s="116"/>
      <c r="K281" s="117">
        <f t="shared" si="153"/>
        <v>0</v>
      </c>
      <c r="L281" s="116"/>
      <c r="M281" s="117">
        <f t="shared" si="154"/>
        <v>0</v>
      </c>
      <c r="N281" s="116"/>
      <c r="O281" s="117">
        <f t="shared" si="155"/>
        <v>0</v>
      </c>
      <c r="P281" s="116"/>
      <c r="Q281" s="117">
        <f t="shared" si="156"/>
        <v>0</v>
      </c>
      <c r="R281" s="116">
        <v>1</v>
      </c>
      <c r="S281" s="117">
        <f>+R281*$E281*0.8</f>
        <v>1144000</v>
      </c>
      <c r="T281" s="116">
        <v>1</v>
      </c>
      <c r="U281" s="117">
        <f>T281*E281*0.8</f>
        <v>1144000</v>
      </c>
      <c r="V281" s="116"/>
      <c r="W281" s="117">
        <f t="shared" si="158"/>
        <v>0</v>
      </c>
      <c r="X281" s="116"/>
      <c r="Y281" s="117">
        <f t="shared" si="67"/>
        <v>0</v>
      </c>
      <c r="Z281" s="116"/>
      <c r="AA281" s="117">
        <f t="shared" ref="AA281:AA282" si="161">+Z281*E281*0.8</f>
        <v>0</v>
      </c>
      <c r="AB281" s="116"/>
      <c r="AC281" s="117">
        <f t="shared" si="149"/>
        <v>0</v>
      </c>
      <c r="AD281" s="116"/>
      <c r="AE281" s="117">
        <f t="shared" ref="AE281:AE282" si="162">+AD281*E281</f>
        <v>0</v>
      </c>
      <c r="AF281" s="116"/>
      <c r="AG281" s="118">
        <f t="shared" ref="AG281:AG333" si="163">AF281*E281</f>
        <v>0</v>
      </c>
      <c r="AH281" s="224"/>
      <c r="AI281" s="227"/>
      <c r="AJ281" s="227"/>
      <c r="AK281" s="150">
        <f t="shared" si="159"/>
        <v>1</v>
      </c>
      <c r="AL281" s="119">
        <f t="shared" si="159"/>
        <v>1144000</v>
      </c>
      <c r="AM281" s="120">
        <f t="shared" si="137"/>
        <v>1</v>
      </c>
      <c r="AN281" s="120">
        <v>0</v>
      </c>
      <c r="AO281" s="164">
        <f t="shared" si="138"/>
        <v>1</v>
      </c>
      <c r="AP281" s="150">
        <v>0</v>
      </c>
      <c r="AQ281" s="119">
        <f t="shared" si="139"/>
        <v>0</v>
      </c>
      <c r="AR281" s="150">
        <f t="shared" si="136"/>
        <v>1</v>
      </c>
      <c r="AS281" s="165">
        <f t="shared" si="140"/>
        <v>1430000</v>
      </c>
      <c r="AT281" s="181">
        <f t="shared" ref="AT281:AT282" si="164">100%-AK281</f>
        <v>0</v>
      </c>
      <c r="AU281" s="167">
        <f t="shared" ref="AU281:AU282" si="165">AT281*E281*0.8</f>
        <v>0</v>
      </c>
      <c r="AV281" s="121"/>
      <c r="AW281" s="121"/>
      <c r="AX281" s="121"/>
      <c r="AY281" s="121"/>
      <c r="AZ281" s="121"/>
      <c r="BA281" s="121"/>
      <c r="BB281" s="121"/>
      <c r="BC281" s="121"/>
      <c r="BD281" s="121"/>
      <c r="BE281" s="121"/>
      <c r="BF281" s="121"/>
      <c r="BG281" s="121"/>
    </row>
    <row r="282" spans="1:59" s="177" customFormat="1" ht="15" customHeight="1">
      <c r="A282" s="168"/>
      <c r="B282" s="169" t="s">
        <v>201</v>
      </c>
      <c r="C282" s="170"/>
      <c r="D282" s="171">
        <f>O282/E282</f>
        <v>0.8</v>
      </c>
      <c r="E282" s="172">
        <f t="shared" si="160"/>
        <v>1430000</v>
      </c>
      <c r="F282" s="171"/>
      <c r="G282" s="172">
        <f t="shared" si="115"/>
        <v>0</v>
      </c>
      <c r="H282" s="171"/>
      <c r="I282" s="172"/>
      <c r="J282" s="171"/>
      <c r="K282" s="172">
        <f t="shared" si="153"/>
        <v>0</v>
      </c>
      <c r="L282" s="171"/>
      <c r="M282" s="172">
        <f t="shared" si="154"/>
        <v>0</v>
      </c>
      <c r="N282" s="171">
        <v>1</v>
      </c>
      <c r="O282" s="172">
        <f>+N282*$E282*0.8</f>
        <v>1144000</v>
      </c>
      <c r="P282" s="171"/>
      <c r="Q282" s="172">
        <f t="shared" si="156"/>
        <v>0</v>
      </c>
      <c r="R282" s="171"/>
      <c r="S282" s="172">
        <f t="shared" ref="S282:S284" si="166">+R282*$E282</f>
        <v>0</v>
      </c>
      <c r="T282" s="171"/>
      <c r="U282" s="172">
        <f t="shared" si="157"/>
        <v>0</v>
      </c>
      <c r="V282" s="171"/>
      <c r="W282" s="172">
        <f t="shared" si="158"/>
        <v>0</v>
      </c>
      <c r="X282" s="171"/>
      <c r="Y282" s="172">
        <f t="shared" si="67"/>
        <v>0</v>
      </c>
      <c r="Z282" s="171"/>
      <c r="AA282" s="172">
        <f t="shared" si="161"/>
        <v>0</v>
      </c>
      <c r="AB282" s="171"/>
      <c r="AC282" s="172">
        <f t="shared" si="149"/>
        <v>0</v>
      </c>
      <c r="AD282" s="171"/>
      <c r="AE282" s="172">
        <f t="shared" si="162"/>
        <v>0</v>
      </c>
      <c r="AF282" s="171"/>
      <c r="AG282" s="173">
        <f t="shared" si="163"/>
        <v>0</v>
      </c>
      <c r="AH282" s="224"/>
      <c r="AI282" s="227"/>
      <c r="AJ282" s="227"/>
      <c r="AK282" s="174">
        <f t="shared" si="159"/>
        <v>0</v>
      </c>
      <c r="AL282" s="175">
        <f t="shared" si="159"/>
        <v>0</v>
      </c>
      <c r="AM282" s="176">
        <f t="shared" si="137"/>
        <v>0</v>
      </c>
      <c r="AN282" s="176">
        <v>0</v>
      </c>
      <c r="AO282" s="196">
        <f t="shared" si="138"/>
        <v>0</v>
      </c>
      <c r="AP282" s="174">
        <v>0</v>
      </c>
      <c r="AQ282" s="175">
        <f t="shared" si="139"/>
        <v>0</v>
      </c>
      <c r="AR282" s="174">
        <f t="shared" si="136"/>
        <v>0</v>
      </c>
      <c r="AS282" s="197">
        <f t="shared" si="140"/>
        <v>0</v>
      </c>
      <c r="AT282" s="166">
        <f t="shared" si="164"/>
        <v>1</v>
      </c>
      <c r="AU282" s="198">
        <f t="shared" si="165"/>
        <v>1144000</v>
      </c>
      <c r="AV282" s="124"/>
      <c r="AW282" s="124"/>
      <c r="AX282" s="124"/>
      <c r="AY282" s="124"/>
      <c r="AZ282" s="124"/>
      <c r="BA282" s="124"/>
      <c r="BB282" s="124"/>
      <c r="BC282" s="124"/>
      <c r="BD282" s="124"/>
      <c r="BE282" s="124"/>
      <c r="BF282" s="124"/>
      <c r="BG282" s="124"/>
    </row>
    <row r="283" spans="1:59" s="122" customFormat="1" ht="15" customHeight="1">
      <c r="A283" s="113"/>
      <c r="B283" s="114" t="s">
        <v>202</v>
      </c>
      <c r="C283" s="115"/>
      <c r="D283" s="116">
        <f t="shared" ref="D283:D284" si="167">AE283/E281</f>
        <v>0.2</v>
      </c>
      <c r="E283" s="117"/>
      <c r="F283" s="116"/>
      <c r="G283" s="117">
        <f t="shared" si="115"/>
        <v>0</v>
      </c>
      <c r="H283" s="116"/>
      <c r="I283" s="117"/>
      <c r="J283" s="116"/>
      <c r="K283" s="117">
        <f t="shared" si="153"/>
        <v>0</v>
      </c>
      <c r="L283" s="116"/>
      <c r="M283" s="117">
        <f t="shared" si="154"/>
        <v>0</v>
      </c>
      <c r="N283" s="116"/>
      <c r="O283" s="117">
        <f t="shared" ref="O283:O287" si="168">+N283*$E283</f>
        <v>0</v>
      </c>
      <c r="P283" s="116"/>
      <c r="Q283" s="117">
        <f t="shared" si="156"/>
        <v>0</v>
      </c>
      <c r="R283" s="116"/>
      <c r="S283" s="117">
        <f t="shared" si="166"/>
        <v>0</v>
      </c>
      <c r="T283" s="116"/>
      <c r="U283" s="117">
        <f t="shared" si="157"/>
        <v>0</v>
      </c>
      <c r="V283" s="116"/>
      <c r="W283" s="117">
        <f t="shared" si="158"/>
        <v>0</v>
      </c>
      <c r="X283" s="116"/>
      <c r="Y283" s="117">
        <f t="shared" si="67"/>
        <v>0</v>
      </c>
      <c r="Z283" s="116"/>
      <c r="AA283" s="117">
        <f t="shared" ref="AA283:AA305" si="169">+Z283*$E283</f>
        <v>0</v>
      </c>
      <c r="AB283" s="116"/>
      <c r="AC283" s="117">
        <f t="shared" si="149"/>
        <v>0</v>
      </c>
      <c r="AD283" s="116">
        <v>1</v>
      </c>
      <c r="AE283" s="117">
        <f t="shared" ref="AE283:AE284" si="170">+AD283*E281*0.2</f>
        <v>286000</v>
      </c>
      <c r="AF283" s="116"/>
      <c r="AG283" s="118">
        <f t="shared" si="163"/>
        <v>0</v>
      </c>
      <c r="AH283" s="224"/>
      <c r="AI283" s="227"/>
      <c r="AJ283" s="227"/>
      <c r="AK283" s="150">
        <f t="shared" si="159"/>
        <v>0</v>
      </c>
      <c r="AL283" s="119">
        <f t="shared" si="159"/>
        <v>0</v>
      </c>
      <c r="AM283" s="120">
        <f t="shared" si="137"/>
        <v>0</v>
      </c>
      <c r="AN283" s="120">
        <v>0</v>
      </c>
      <c r="AO283" s="164">
        <f t="shared" si="138"/>
        <v>0</v>
      </c>
      <c r="AP283" s="150">
        <v>0</v>
      </c>
      <c r="AQ283" s="119">
        <f t="shared" si="139"/>
        <v>0</v>
      </c>
      <c r="AR283" s="150">
        <f t="shared" si="136"/>
        <v>0</v>
      </c>
      <c r="AS283" s="165">
        <f t="shared" si="140"/>
        <v>0</v>
      </c>
      <c r="AT283" s="181"/>
      <c r="AU283" s="167">
        <f t="shared" si="141"/>
        <v>0</v>
      </c>
      <c r="AV283" s="121"/>
      <c r="AW283" s="121"/>
      <c r="AX283" s="121"/>
      <c r="AY283" s="121"/>
      <c r="AZ283" s="121"/>
      <c r="BA283" s="121"/>
      <c r="BB283" s="121"/>
      <c r="BC283" s="121"/>
      <c r="BD283" s="121"/>
      <c r="BE283" s="121"/>
      <c r="BF283" s="121"/>
      <c r="BG283" s="121"/>
    </row>
    <row r="284" spans="1:59" s="122" customFormat="1" ht="15" customHeight="1">
      <c r="A284" s="113"/>
      <c r="B284" s="114" t="s">
        <v>203</v>
      </c>
      <c r="C284" s="115"/>
      <c r="D284" s="116">
        <f t="shared" si="167"/>
        <v>0.2</v>
      </c>
      <c r="E284" s="117"/>
      <c r="F284" s="116"/>
      <c r="G284" s="117">
        <f t="shared" si="115"/>
        <v>0</v>
      </c>
      <c r="H284" s="116"/>
      <c r="I284" s="117"/>
      <c r="J284" s="116"/>
      <c r="K284" s="117">
        <f t="shared" si="153"/>
        <v>0</v>
      </c>
      <c r="L284" s="116"/>
      <c r="M284" s="117">
        <f t="shared" si="154"/>
        <v>0</v>
      </c>
      <c r="N284" s="116"/>
      <c r="O284" s="117">
        <f t="shared" si="168"/>
        <v>0</v>
      </c>
      <c r="P284" s="116"/>
      <c r="Q284" s="117">
        <f t="shared" si="156"/>
        <v>0</v>
      </c>
      <c r="R284" s="116"/>
      <c r="S284" s="117">
        <f t="shared" si="166"/>
        <v>0</v>
      </c>
      <c r="T284" s="116"/>
      <c r="U284" s="117">
        <f t="shared" si="157"/>
        <v>0</v>
      </c>
      <c r="V284" s="116"/>
      <c r="W284" s="117">
        <f t="shared" si="158"/>
        <v>0</v>
      </c>
      <c r="X284" s="116"/>
      <c r="Y284" s="117">
        <f t="shared" si="67"/>
        <v>0</v>
      </c>
      <c r="Z284" s="116"/>
      <c r="AA284" s="117">
        <f t="shared" si="169"/>
        <v>0</v>
      </c>
      <c r="AB284" s="116"/>
      <c r="AC284" s="117">
        <f t="shared" si="149"/>
        <v>0</v>
      </c>
      <c r="AD284" s="116">
        <v>1</v>
      </c>
      <c r="AE284" s="117">
        <f t="shared" si="170"/>
        <v>286000</v>
      </c>
      <c r="AF284" s="116"/>
      <c r="AG284" s="118">
        <f t="shared" si="163"/>
        <v>0</v>
      </c>
      <c r="AH284" s="224"/>
      <c r="AI284" s="227"/>
      <c r="AJ284" s="227"/>
      <c r="AK284" s="150">
        <f t="shared" si="159"/>
        <v>0</v>
      </c>
      <c r="AL284" s="119">
        <f t="shared" si="159"/>
        <v>0</v>
      </c>
      <c r="AM284" s="120">
        <f t="shared" si="137"/>
        <v>0</v>
      </c>
      <c r="AN284" s="120">
        <v>0</v>
      </c>
      <c r="AO284" s="164">
        <f t="shared" si="138"/>
        <v>0</v>
      </c>
      <c r="AP284" s="150">
        <v>0</v>
      </c>
      <c r="AQ284" s="119">
        <f t="shared" si="139"/>
        <v>0</v>
      </c>
      <c r="AR284" s="150">
        <f t="shared" si="136"/>
        <v>0</v>
      </c>
      <c r="AS284" s="165">
        <f t="shared" si="140"/>
        <v>0</v>
      </c>
      <c r="AT284" s="181"/>
      <c r="AU284" s="167">
        <f t="shared" si="141"/>
        <v>0</v>
      </c>
      <c r="AV284" s="121"/>
      <c r="AW284" s="121"/>
      <c r="AX284" s="121"/>
      <c r="AY284" s="121"/>
      <c r="AZ284" s="121"/>
      <c r="BA284" s="121"/>
      <c r="BB284" s="121"/>
      <c r="BC284" s="121"/>
      <c r="BD284" s="121"/>
      <c r="BE284" s="121"/>
      <c r="BF284" s="121"/>
      <c r="BG284" s="121"/>
    </row>
    <row r="285" spans="1:59" s="177" customFormat="1" ht="14.25" customHeight="1">
      <c r="A285" s="168"/>
      <c r="B285" s="169" t="s">
        <v>204</v>
      </c>
      <c r="C285" s="178"/>
      <c r="D285" s="179">
        <f>S285/E285</f>
        <v>0</v>
      </c>
      <c r="E285" s="172">
        <f>3200000*0.55</f>
        <v>1760000.0000000002</v>
      </c>
      <c r="F285" s="171"/>
      <c r="G285" s="172">
        <f t="shared" si="115"/>
        <v>0</v>
      </c>
      <c r="H285" s="171"/>
      <c r="I285" s="172"/>
      <c r="J285" s="171"/>
      <c r="K285" s="172">
        <f t="shared" si="153"/>
        <v>0</v>
      </c>
      <c r="L285" s="171"/>
      <c r="M285" s="172">
        <f t="shared" si="154"/>
        <v>0</v>
      </c>
      <c r="N285" s="171"/>
      <c r="O285" s="172">
        <f t="shared" si="168"/>
        <v>0</v>
      </c>
      <c r="P285" s="171"/>
      <c r="Q285" s="172">
        <f t="shared" si="156"/>
        <v>0</v>
      </c>
      <c r="R285" s="171"/>
      <c r="S285" s="172">
        <f>+R285*$E285*0.8</f>
        <v>0</v>
      </c>
      <c r="T285" s="171"/>
      <c r="U285" s="172">
        <f t="shared" si="157"/>
        <v>0</v>
      </c>
      <c r="V285" s="171"/>
      <c r="W285" s="172">
        <f t="shared" si="158"/>
        <v>0</v>
      </c>
      <c r="X285" s="171"/>
      <c r="Y285" s="172">
        <f t="shared" si="67"/>
        <v>0</v>
      </c>
      <c r="Z285" s="171"/>
      <c r="AA285" s="172">
        <f t="shared" si="169"/>
        <v>0</v>
      </c>
      <c r="AB285" s="171"/>
      <c r="AC285" s="172">
        <f t="shared" si="149"/>
        <v>0</v>
      </c>
      <c r="AD285" s="171">
        <v>1</v>
      </c>
      <c r="AE285" s="172">
        <f>+AD285*E285*0.8</f>
        <v>1408000.0000000002</v>
      </c>
      <c r="AF285" s="171">
        <v>0.7</v>
      </c>
      <c r="AG285" s="173">
        <f>AF285*E285*0.8</f>
        <v>985600</v>
      </c>
      <c r="AH285" s="224"/>
      <c r="AI285" s="227"/>
      <c r="AJ285" s="227"/>
      <c r="AK285" s="174">
        <f t="shared" si="159"/>
        <v>0.7</v>
      </c>
      <c r="AL285" s="175">
        <f t="shared" si="159"/>
        <v>985600</v>
      </c>
      <c r="AM285" s="176">
        <f t="shared" si="137"/>
        <v>0.7</v>
      </c>
      <c r="AN285" s="176">
        <v>0.7</v>
      </c>
      <c r="AO285" s="196">
        <f t="shared" si="138"/>
        <v>0</v>
      </c>
      <c r="AP285" s="174">
        <v>0</v>
      </c>
      <c r="AQ285" s="175">
        <f t="shared" si="139"/>
        <v>0</v>
      </c>
      <c r="AR285" s="174">
        <f t="shared" si="136"/>
        <v>0.7</v>
      </c>
      <c r="AS285" s="197">
        <f t="shared" si="140"/>
        <v>1232000</v>
      </c>
      <c r="AT285" s="166"/>
      <c r="AU285" s="198">
        <f t="shared" si="141"/>
        <v>0</v>
      </c>
      <c r="AV285" s="124"/>
      <c r="AW285" s="124"/>
      <c r="AX285" s="124"/>
      <c r="AY285" s="124"/>
      <c r="AZ285" s="124"/>
      <c r="BA285" s="124"/>
      <c r="BB285" s="124"/>
      <c r="BC285" s="124"/>
      <c r="BD285" s="124"/>
      <c r="BE285" s="124"/>
      <c r="BF285" s="124"/>
      <c r="BG285" s="124"/>
    </row>
    <row r="286" spans="1:59" s="122" customFormat="1" ht="14.25" customHeight="1">
      <c r="A286" s="113"/>
      <c r="B286" s="114" t="s">
        <v>205</v>
      </c>
      <c r="C286" s="131"/>
      <c r="D286" s="132">
        <f>AE286/E285</f>
        <v>0.2</v>
      </c>
      <c r="E286" s="117"/>
      <c r="F286" s="116"/>
      <c r="G286" s="117">
        <f t="shared" si="115"/>
        <v>0</v>
      </c>
      <c r="H286" s="116"/>
      <c r="I286" s="117"/>
      <c r="J286" s="116"/>
      <c r="K286" s="117">
        <f t="shared" si="153"/>
        <v>0</v>
      </c>
      <c r="L286" s="116"/>
      <c r="M286" s="117">
        <f t="shared" si="154"/>
        <v>0</v>
      </c>
      <c r="N286" s="116"/>
      <c r="O286" s="117">
        <f t="shared" si="168"/>
        <v>0</v>
      </c>
      <c r="P286" s="116"/>
      <c r="Q286" s="117">
        <f t="shared" si="156"/>
        <v>0</v>
      </c>
      <c r="R286" s="116"/>
      <c r="S286" s="117">
        <f t="shared" ref="S286:S287" si="171">+R286*$E286</f>
        <v>0</v>
      </c>
      <c r="T286" s="116"/>
      <c r="U286" s="117">
        <f t="shared" si="157"/>
        <v>0</v>
      </c>
      <c r="V286" s="116"/>
      <c r="W286" s="117">
        <f t="shared" si="158"/>
        <v>0</v>
      </c>
      <c r="X286" s="116"/>
      <c r="Y286" s="117">
        <f t="shared" si="67"/>
        <v>0</v>
      </c>
      <c r="Z286" s="116"/>
      <c r="AA286" s="117">
        <f t="shared" si="169"/>
        <v>0</v>
      </c>
      <c r="AB286" s="116"/>
      <c r="AC286" s="117">
        <f t="shared" si="149"/>
        <v>0</v>
      </c>
      <c r="AD286" s="116">
        <v>1</v>
      </c>
      <c r="AE286" s="117">
        <f>+AD286*E285*0.2</f>
        <v>352000.00000000006</v>
      </c>
      <c r="AF286" s="116"/>
      <c r="AG286" s="118">
        <f t="shared" si="163"/>
        <v>0</v>
      </c>
      <c r="AH286" s="224"/>
      <c r="AI286" s="227"/>
      <c r="AJ286" s="227"/>
      <c r="AK286" s="150">
        <f t="shared" si="159"/>
        <v>0</v>
      </c>
      <c r="AL286" s="119">
        <f t="shared" si="159"/>
        <v>0</v>
      </c>
      <c r="AM286" s="120">
        <f t="shared" si="137"/>
        <v>0</v>
      </c>
      <c r="AN286" s="120">
        <v>0</v>
      </c>
      <c r="AO286" s="164">
        <f t="shared" si="138"/>
        <v>0</v>
      </c>
      <c r="AP286" s="150">
        <v>0</v>
      </c>
      <c r="AQ286" s="119">
        <f t="shared" si="139"/>
        <v>0</v>
      </c>
      <c r="AR286" s="150">
        <f t="shared" si="136"/>
        <v>0</v>
      </c>
      <c r="AS286" s="165">
        <f t="shared" si="140"/>
        <v>0</v>
      </c>
      <c r="AT286" s="181"/>
      <c r="AU286" s="167">
        <f t="shared" si="141"/>
        <v>0</v>
      </c>
      <c r="AV286" s="121"/>
      <c r="AW286" s="121"/>
      <c r="AX286" s="121"/>
      <c r="AY286" s="121"/>
      <c r="AZ286" s="121"/>
      <c r="BA286" s="121"/>
      <c r="BB286" s="121"/>
      <c r="BC286" s="121"/>
      <c r="BD286" s="121"/>
      <c r="BE286" s="121"/>
      <c r="BF286" s="121"/>
      <c r="BG286" s="121"/>
    </row>
    <row r="287" spans="1:59" s="122" customFormat="1" ht="15" customHeight="1">
      <c r="A287" s="113" t="s">
        <v>206</v>
      </c>
      <c r="B287" s="128" t="s">
        <v>207</v>
      </c>
      <c r="C287" s="129"/>
      <c r="D287" s="130"/>
      <c r="E287" s="117"/>
      <c r="F287" s="116"/>
      <c r="G287" s="117">
        <f t="shared" si="115"/>
        <v>0</v>
      </c>
      <c r="H287" s="116"/>
      <c r="I287" s="117"/>
      <c r="J287" s="116"/>
      <c r="K287" s="117">
        <f t="shared" si="153"/>
        <v>0</v>
      </c>
      <c r="L287" s="116"/>
      <c r="M287" s="117">
        <f t="shared" si="154"/>
        <v>0</v>
      </c>
      <c r="N287" s="116"/>
      <c r="O287" s="117">
        <f t="shared" si="168"/>
        <v>0</v>
      </c>
      <c r="P287" s="116"/>
      <c r="Q287" s="117">
        <f t="shared" si="156"/>
        <v>0</v>
      </c>
      <c r="R287" s="116"/>
      <c r="S287" s="117">
        <f t="shared" si="171"/>
        <v>0</v>
      </c>
      <c r="T287" s="116"/>
      <c r="U287" s="117">
        <f t="shared" si="157"/>
        <v>0</v>
      </c>
      <c r="V287" s="116"/>
      <c r="W287" s="117">
        <f t="shared" si="158"/>
        <v>0</v>
      </c>
      <c r="X287" s="116"/>
      <c r="Y287" s="117">
        <f t="shared" si="67"/>
        <v>0</v>
      </c>
      <c r="Z287" s="116"/>
      <c r="AA287" s="117">
        <f t="shared" si="169"/>
        <v>0</v>
      </c>
      <c r="AB287" s="116"/>
      <c r="AC287" s="117">
        <f t="shared" si="149"/>
        <v>0</v>
      </c>
      <c r="AD287" s="116"/>
      <c r="AE287" s="117">
        <f t="shared" ref="AE287:AE302" si="172">+AD287*E287</f>
        <v>0</v>
      </c>
      <c r="AF287" s="116"/>
      <c r="AG287" s="118">
        <f t="shared" si="163"/>
        <v>0</v>
      </c>
      <c r="AH287" s="224"/>
      <c r="AI287" s="227"/>
      <c r="AJ287" s="227"/>
      <c r="AK287" s="150">
        <f t="shared" si="159"/>
        <v>0</v>
      </c>
      <c r="AL287" s="119">
        <f t="shared" si="159"/>
        <v>0</v>
      </c>
      <c r="AM287" s="120">
        <f t="shared" si="137"/>
        <v>0</v>
      </c>
      <c r="AN287" s="120">
        <v>0</v>
      </c>
      <c r="AO287" s="164">
        <f t="shared" si="138"/>
        <v>0</v>
      </c>
      <c r="AP287" s="150">
        <v>0</v>
      </c>
      <c r="AQ287" s="119">
        <f t="shared" si="139"/>
        <v>0</v>
      </c>
      <c r="AR287" s="150">
        <f t="shared" si="136"/>
        <v>0</v>
      </c>
      <c r="AS287" s="165">
        <f t="shared" si="140"/>
        <v>0</v>
      </c>
      <c r="AT287" s="181"/>
      <c r="AU287" s="167">
        <f t="shared" si="141"/>
        <v>0</v>
      </c>
      <c r="AV287" s="121"/>
      <c r="AW287" s="121"/>
      <c r="AX287" s="121"/>
      <c r="AY287" s="121"/>
      <c r="AZ287" s="121"/>
      <c r="BA287" s="121"/>
      <c r="BB287" s="121"/>
      <c r="BC287" s="121"/>
      <c r="BD287" s="121"/>
      <c r="BE287" s="121"/>
      <c r="BF287" s="121"/>
      <c r="BG287" s="121"/>
    </row>
    <row r="288" spans="1:59" s="122" customFormat="1" ht="15" customHeight="1">
      <c r="A288" s="113"/>
      <c r="B288" s="114" t="s">
        <v>208</v>
      </c>
      <c r="C288" s="115"/>
      <c r="D288" s="116">
        <f>K288/E288</f>
        <v>0</v>
      </c>
      <c r="E288" s="117">
        <f t="shared" ref="E288:E289" si="173">2310000/2</f>
        <v>1155000</v>
      </c>
      <c r="F288" s="116"/>
      <c r="G288" s="117">
        <f t="shared" si="115"/>
        <v>0</v>
      </c>
      <c r="H288" s="116"/>
      <c r="I288" s="117"/>
      <c r="J288" s="116"/>
      <c r="K288" s="117">
        <f t="shared" si="153"/>
        <v>0</v>
      </c>
      <c r="L288" s="116"/>
      <c r="M288" s="117">
        <f t="shared" si="154"/>
        <v>0</v>
      </c>
      <c r="N288" s="116"/>
      <c r="O288" s="117">
        <f t="shared" ref="O288:O289" si="174">+N288*$E288*0.8</f>
        <v>0</v>
      </c>
      <c r="P288" s="116"/>
      <c r="Q288" s="117">
        <f t="shared" si="156"/>
        <v>0</v>
      </c>
      <c r="R288" s="116">
        <v>0.5</v>
      </c>
      <c r="S288" s="117">
        <f>+R288*$E288*0.8</f>
        <v>462000</v>
      </c>
      <c r="T288" s="116">
        <v>0.5</v>
      </c>
      <c r="U288" s="117">
        <f>T288*E288*0.8</f>
        <v>462000</v>
      </c>
      <c r="V288" s="116">
        <v>0.5</v>
      </c>
      <c r="W288" s="117">
        <f>+V288*E288*0.8</f>
        <v>462000</v>
      </c>
      <c r="X288" s="116">
        <v>0.5</v>
      </c>
      <c r="Y288" s="117">
        <f>X288*E288*0.8</f>
        <v>462000</v>
      </c>
      <c r="Z288" s="116"/>
      <c r="AA288" s="117">
        <f t="shared" si="169"/>
        <v>0</v>
      </c>
      <c r="AB288" s="116"/>
      <c r="AC288" s="117">
        <f t="shared" si="149"/>
        <v>0</v>
      </c>
      <c r="AD288" s="116"/>
      <c r="AE288" s="117">
        <f t="shared" si="172"/>
        <v>0</v>
      </c>
      <c r="AF288" s="116"/>
      <c r="AG288" s="118">
        <f t="shared" si="163"/>
        <v>0</v>
      </c>
      <c r="AH288" s="224"/>
      <c r="AI288" s="227"/>
      <c r="AJ288" s="227"/>
      <c r="AK288" s="150">
        <f t="shared" si="159"/>
        <v>1</v>
      </c>
      <c r="AL288" s="119">
        <f t="shared" si="159"/>
        <v>924000</v>
      </c>
      <c r="AM288" s="120">
        <f t="shared" si="137"/>
        <v>1</v>
      </c>
      <c r="AN288" s="120">
        <v>0</v>
      </c>
      <c r="AO288" s="164">
        <f t="shared" si="138"/>
        <v>1</v>
      </c>
      <c r="AP288" s="150">
        <v>0</v>
      </c>
      <c r="AQ288" s="119">
        <f t="shared" si="139"/>
        <v>0</v>
      </c>
      <c r="AR288" s="150">
        <f t="shared" si="136"/>
        <v>1</v>
      </c>
      <c r="AS288" s="165">
        <f t="shared" si="140"/>
        <v>1155000</v>
      </c>
      <c r="AT288" s="181">
        <f t="shared" ref="AT288:AT289" si="175">100%-AK288</f>
        <v>0</v>
      </c>
      <c r="AU288" s="167">
        <f>AT288*E288*0.8</f>
        <v>0</v>
      </c>
      <c r="AV288" s="121"/>
      <c r="AW288" s="121"/>
      <c r="AX288" s="121"/>
      <c r="AY288" s="121"/>
      <c r="AZ288" s="121"/>
      <c r="BA288" s="121"/>
      <c r="BB288" s="121"/>
      <c r="BC288" s="121"/>
      <c r="BD288" s="121"/>
      <c r="BE288" s="121"/>
      <c r="BF288" s="121"/>
      <c r="BG288" s="121"/>
    </row>
    <row r="289" spans="1:59" s="177" customFormat="1" ht="15" customHeight="1">
      <c r="A289" s="168"/>
      <c r="B289" s="169" t="s">
        <v>209</v>
      </c>
      <c r="C289" s="170"/>
      <c r="D289" s="171">
        <f>O289/E289</f>
        <v>0.8</v>
      </c>
      <c r="E289" s="172">
        <f t="shared" si="173"/>
        <v>1155000</v>
      </c>
      <c r="F289" s="171"/>
      <c r="G289" s="172">
        <f t="shared" si="115"/>
        <v>0</v>
      </c>
      <c r="H289" s="171"/>
      <c r="I289" s="172"/>
      <c r="J289" s="171"/>
      <c r="K289" s="172">
        <f t="shared" si="153"/>
        <v>0</v>
      </c>
      <c r="L289" s="171"/>
      <c r="M289" s="172">
        <f t="shared" si="154"/>
        <v>0</v>
      </c>
      <c r="N289" s="171">
        <v>1</v>
      </c>
      <c r="O289" s="172">
        <f t="shared" si="174"/>
        <v>924000</v>
      </c>
      <c r="P289" s="171"/>
      <c r="Q289" s="172">
        <f t="shared" si="156"/>
        <v>0</v>
      </c>
      <c r="R289" s="171"/>
      <c r="S289" s="172">
        <f t="shared" ref="S289:S297" si="176">+R289*$E289</f>
        <v>0</v>
      </c>
      <c r="T289" s="171"/>
      <c r="U289" s="172">
        <f t="shared" si="157"/>
        <v>0</v>
      </c>
      <c r="V289" s="171"/>
      <c r="W289" s="172">
        <f>+V289*E289</f>
        <v>0</v>
      </c>
      <c r="X289" s="171"/>
      <c r="Y289" s="172">
        <f t="shared" si="67"/>
        <v>0</v>
      </c>
      <c r="Z289" s="171"/>
      <c r="AA289" s="172">
        <f t="shared" si="169"/>
        <v>0</v>
      </c>
      <c r="AB289" s="171"/>
      <c r="AC289" s="172">
        <f t="shared" si="149"/>
        <v>0</v>
      </c>
      <c r="AD289" s="171"/>
      <c r="AE289" s="172">
        <f t="shared" si="172"/>
        <v>0</v>
      </c>
      <c r="AF289" s="171"/>
      <c r="AG289" s="173">
        <f t="shared" si="163"/>
        <v>0</v>
      </c>
      <c r="AH289" s="224"/>
      <c r="AI289" s="227"/>
      <c r="AJ289" s="227"/>
      <c r="AK289" s="174">
        <f t="shared" si="159"/>
        <v>0</v>
      </c>
      <c r="AL289" s="175">
        <f t="shared" si="159"/>
        <v>0</v>
      </c>
      <c r="AM289" s="176">
        <f t="shared" si="137"/>
        <v>0</v>
      </c>
      <c r="AN289" s="176">
        <v>0</v>
      </c>
      <c r="AO289" s="196">
        <f t="shared" si="138"/>
        <v>0</v>
      </c>
      <c r="AP289" s="174">
        <v>0</v>
      </c>
      <c r="AQ289" s="175">
        <f t="shared" si="139"/>
        <v>0</v>
      </c>
      <c r="AR289" s="174">
        <f t="shared" si="136"/>
        <v>0</v>
      </c>
      <c r="AS289" s="197">
        <f t="shared" si="140"/>
        <v>0</v>
      </c>
      <c r="AT289" s="166">
        <f t="shared" si="175"/>
        <v>1</v>
      </c>
      <c r="AU289" s="198">
        <f t="shared" ref="AU289" si="177">AT289*E289*0.8</f>
        <v>924000</v>
      </c>
      <c r="AV289" s="124"/>
      <c r="AW289" s="124"/>
      <c r="AX289" s="124"/>
      <c r="AY289" s="124"/>
      <c r="AZ289" s="124"/>
      <c r="BA289" s="124"/>
      <c r="BB289" s="124"/>
      <c r="BC289" s="124"/>
      <c r="BD289" s="124"/>
      <c r="BE289" s="124"/>
      <c r="BF289" s="124"/>
      <c r="BG289" s="124"/>
    </row>
    <row r="290" spans="1:59" s="122" customFormat="1" ht="15" customHeight="1">
      <c r="A290" s="113"/>
      <c r="B290" s="114" t="s">
        <v>210</v>
      </c>
      <c r="C290" s="115"/>
      <c r="D290" s="116">
        <f t="shared" ref="D290:D291" si="178">W290/E288</f>
        <v>0.2</v>
      </c>
      <c r="E290" s="117"/>
      <c r="F290" s="116"/>
      <c r="G290" s="117">
        <f t="shared" si="115"/>
        <v>0</v>
      </c>
      <c r="H290" s="116"/>
      <c r="I290" s="117"/>
      <c r="J290" s="116"/>
      <c r="K290" s="117">
        <f t="shared" si="153"/>
        <v>0</v>
      </c>
      <c r="L290" s="116"/>
      <c r="M290" s="117">
        <f t="shared" si="154"/>
        <v>0</v>
      </c>
      <c r="N290" s="116"/>
      <c r="O290" s="117">
        <f t="shared" ref="O290:O292" si="179">+N290*$E290</f>
        <v>0</v>
      </c>
      <c r="P290" s="116"/>
      <c r="Q290" s="117">
        <f t="shared" si="156"/>
        <v>0</v>
      </c>
      <c r="R290" s="116"/>
      <c r="S290" s="117">
        <f t="shared" si="176"/>
        <v>0</v>
      </c>
      <c r="T290" s="116"/>
      <c r="U290" s="117">
        <f t="shared" si="157"/>
        <v>0</v>
      </c>
      <c r="V290" s="116">
        <v>1</v>
      </c>
      <c r="W290" s="117">
        <f t="shared" ref="W290:W291" si="180">+V290*$E288*0.2</f>
        <v>231000</v>
      </c>
      <c r="X290" s="116"/>
      <c r="Y290" s="117">
        <f t="shared" si="67"/>
        <v>0</v>
      </c>
      <c r="Z290" s="116"/>
      <c r="AA290" s="117">
        <f t="shared" si="169"/>
        <v>0</v>
      </c>
      <c r="AB290" s="116"/>
      <c r="AC290" s="117">
        <f t="shared" si="149"/>
        <v>0</v>
      </c>
      <c r="AD290" s="116"/>
      <c r="AE290" s="117">
        <f t="shared" si="172"/>
        <v>0</v>
      </c>
      <c r="AF290" s="116"/>
      <c r="AG290" s="118">
        <f t="shared" si="163"/>
        <v>0</v>
      </c>
      <c r="AH290" s="224"/>
      <c r="AI290" s="227"/>
      <c r="AJ290" s="227"/>
      <c r="AK290" s="150">
        <f t="shared" si="159"/>
        <v>0</v>
      </c>
      <c r="AL290" s="119">
        <f t="shared" si="159"/>
        <v>0</v>
      </c>
      <c r="AM290" s="120">
        <f t="shared" si="137"/>
        <v>0</v>
      </c>
      <c r="AN290" s="120">
        <v>0</v>
      </c>
      <c r="AO290" s="164">
        <f t="shared" si="138"/>
        <v>0</v>
      </c>
      <c r="AP290" s="150">
        <v>0</v>
      </c>
      <c r="AQ290" s="119">
        <f t="shared" si="139"/>
        <v>0</v>
      </c>
      <c r="AR290" s="150">
        <f t="shared" si="136"/>
        <v>0</v>
      </c>
      <c r="AS290" s="165">
        <f t="shared" si="140"/>
        <v>0</v>
      </c>
      <c r="AT290" s="181"/>
      <c r="AU290" s="167">
        <f t="shared" si="141"/>
        <v>0</v>
      </c>
      <c r="AV290" s="121"/>
      <c r="AW290" s="121"/>
      <c r="AX290" s="121"/>
      <c r="AY290" s="121"/>
      <c r="AZ290" s="121"/>
      <c r="BA290" s="121"/>
      <c r="BB290" s="121"/>
      <c r="BC290" s="121"/>
      <c r="BD290" s="121"/>
      <c r="BE290" s="121"/>
      <c r="BF290" s="121"/>
      <c r="BG290" s="121"/>
    </row>
    <row r="291" spans="1:59" s="122" customFormat="1" ht="15" customHeight="1">
      <c r="A291" s="113"/>
      <c r="B291" s="114" t="s">
        <v>211</v>
      </c>
      <c r="C291" s="115"/>
      <c r="D291" s="116">
        <f t="shared" si="178"/>
        <v>0.2</v>
      </c>
      <c r="E291" s="117"/>
      <c r="F291" s="116"/>
      <c r="G291" s="117">
        <f t="shared" si="115"/>
        <v>0</v>
      </c>
      <c r="H291" s="116"/>
      <c r="I291" s="117"/>
      <c r="J291" s="116"/>
      <c r="K291" s="117">
        <f t="shared" si="153"/>
        <v>0</v>
      </c>
      <c r="L291" s="116"/>
      <c r="M291" s="117">
        <f t="shared" si="154"/>
        <v>0</v>
      </c>
      <c r="N291" s="116"/>
      <c r="O291" s="117">
        <f t="shared" si="179"/>
        <v>0</v>
      </c>
      <c r="P291" s="116"/>
      <c r="Q291" s="117">
        <f t="shared" si="156"/>
        <v>0</v>
      </c>
      <c r="R291" s="116"/>
      <c r="S291" s="117">
        <f t="shared" si="176"/>
        <v>0</v>
      </c>
      <c r="T291" s="116"/>
      <c r="U291" s="117">
        <f t="shared" si="157"/>
        <v>0</v>
      </c>
      <c r="V291" s="116">
        <v>1</v>
      </c>
      <c r="W291" s="117">
        <f t="shared" si="180"/>
        <v>231000</v>
      </c>
      <c r="X291" s="116"/>
      <c r="Y291" s="117">
        <f t="shared" si="67"/>
        <v>0</v>
      </c>
      <c r="Z291" s="116"/>
      <c r="AA291" s="117">
        <f t="shared" si="169"/>
        <v>0</v>
      </c>
      <c r="AB291" s="116"/>
      <c r="AC291" s="117">
        <f t="shared" si="149"/>
        <v>0</v>
      </c>
      <c r="AD291" s="116"/>
      <c r="AE291" s="117">
        <f t="shared" si="172"/>
        <v>0</v>
      </c>
      <c r="AF291" s="116"/>
      <c r="AG291" s="118">
        <f t="shared" si="163"/>
        <v>0</v>
      </c>
      <c r="AH291" s="224"/>
      <c r="AI291" s="227"/>
      <c r="AJ291" s="227"/>
      <c r="AK291" s="150">
        <f t="shared" si="159"/>
        <v>0</v>
      </c>
      <c r="AL291" s="119">
        <f t="shared" si="159"/>
        <v>0</v>
      </c>
      <c r="AM291" s="120">
        <f t="shared" si="137"/>
        <v>0</v>
      </c>
      <c r="AN291" s="120">
        <v>0</v>
      </c>
      <c r="AO291" s="164">
        <f t="shared" si="138"/>
        <v>0</v>
      </c>
      <c r="AP291" s="150">
        <v>0</v>
      </c>
      <c r="AQ291" s="119">
        <f t="shared" si="139"/>
        <v>0</v>
      </c>
      <c r="AR291" s="150">
        <f t="shared" si="136"/>
        <v>0</v>
      </c>
      <c r="AS291" s="165">
        <f t="shared" si="140"/>
        <v>0</v>
      </c>
      <c r="AT291" s="181"/>
      <c r="AU291" s="167">
        <f t="shared" si="141"/>
        <v>0</v>
      </c>
      <c r="AV291" s="121"/>
      <c r="AW291" s="121"/>
      <c r="AX291" s="121"/>
      <c r="AY291" s="121"/>
      <c r="AZ291" s="121"/>
      <c r="BA291" s="121"/>
      <c r="BB291" s="121"/>
      <c r="BC291" s="121"/>
      <c r="BD291" s="121"/>
      <c r="BE291" s="121"/>
      <c r="BF291" s="121"/>
      <c r="BG291" s="121"/>
    </row>
    <row r="292" spans="1:59" s="122" customFormat="1" ht="15" customHeight="1">
      <c r="A292" s="113" t="s">
        <v>212</v>
      </c>
      <c r="B292" s="128" t="s">
        <v>213</v>
      </c>
      <c r="C292" s="129"/>
      <c r="D292" s="130"/>
      <c r="E292" s="117"/>
      <c r="F292" s="116"/>
      <c r="G292" s="133">
        <f t="shared" si="115"/>
        <v>0</v>
      </c>
      <c r="H292" s="116"/>
      <c r="I292" s="133"/>
      <c r="J292" s="133"/>
      <c r="K292" s="133"/>
      <c r="L292" s="116"/>
      <c r="M292" s="133">
        <f t="shared" si="154"/>
        <v>0</v>
      </c>
      <c r="N292" s="133"/>
      <c r="O292" s="133">
        <f t="shared" si="179"/>
        <v>0</v>
      </c>
      <c r="P292" s="116"/>
      <c r="Q292" s="133">
        <f t="shared" si="156"/>
        <v>0</v>
      </c>
      <c r="R292" s="133"/>
      <c r="S292" s="133">
        <f t="shared" si="176"/>
        <v>0</v>
      </c>
      <c r="T292" s="116"/>
      <c r="U292" s="133">
        <f t="shared" si="157"/>
        <v>0</v>
      </c>
      <c r="V292" s="133"/>
      <c r="W292" s="133">
        <f t="shared" ref="W292:W293" si="181">+V292*E292</f>
        <v>0</v>
      </c>
      <c r="X292" s="116"/>
      <c r="Y292" s="133">
        <f t="shared" si="67"/>
        <v>0</v>
      </c>
      <c r="Z292" s="133"/>
      <c r="AA292" s="133">
        <f t="shared" si="169"/>
        <v>0</v>
      </c>
      <c r="AB292" s="116"/>
      <c r="AC292" s="133">
        <f t="shared" si="149"/>
        <v>0</v>
      </c>
      <c r="AD292" s="133"/>
      <c r="AE292" s="133">
        <f t="shared" si="172"/>
        <v>0</v>
      </c>
      <c r="AF292" s="116"/>
      <c r="AG292" s="134">
        <f t="shared" si="163"/>
        <v>0</v>
      </c>
      <c r="AH292" s="224"/>
      <c r="AI292" s="227"/>
      <c r="AJ292" s="227"/>
      <c r="AK292" s="150">
        <f t="shared" si="159"/>
        <v>0</v>
      </c>
      <c r="AL292" s="119">
        <f t="shared" si="159"/>
        <v>0</v>
      </c>
      <c r="AM292" s="120">
        <f t="shared" si="137"/>
        <v>0</v>
      </c>
      <c r="AN292" s="120">
        <v>0</v>
      </c>
      <c r="AO292" s="164">
        <f t="shared" si="138"/>
        <v>0</v>
      </c>
      <c r="AP292" s="150">
        <v>0</v>
      </c>
      <c r="AQ292" s="119">
        <f t="shared" si="139"/>
        <v>0</v>
      </c>
      <c r="AR292" s="150">
        <f t="shared" si="136"/>
        <v>0</v>
      </c>
      <c r="AS292" s="165">
        <f t="shared" si="140"/>
        <v>0</v>
      </c>
      <c r="AT292" s="181"/>
      <c r="AU292" s="167">
        <f t="shared" si="141"/>
        <v>0</v>
      </c>
      <c r="AV292" s="121"/>
      <c r="AW292" s="121"/>
      <c r="AX292" s="121"/>
      <c r="AY292" s="121"/>
      <c r="AZ292" s="121"/>
      <c r="BA292" s="121"/>
      <c r="BB292" s="121"/>
      <c r="BC292" s="121"/>
      <c r="BD292" s="121"/>
      <c r="BE292" s="121"/>
      <c r="BF292" s="121"/>
      <c r="BG292" s="121"/>
    </row>
    <row r="293" spans="1:59" s="122" customFormat="1" ht="15" customHeight="1">
      <c r="A293" s="113"/>
      <c r="B293" s="114" t="s">
        <v>214</v>
      </c>
      <c r="C293" s="115"/>
      <c r="D293" s="116">
        <f>O293/E293</f>
        <v>0.8</v>
      </c>
      <c r="E293" s="117">
        <f>3200000*0.55</f>
        <v>1760000.0000000002</v>
      </c>
      <c r="F293" s="116"/>
      <c r="G293" s="117">
        <f t="shared" si="115"/>
        <v>0</v>
      </c>
      <c r="H293" s="116"/>
      <c r="I293" s="117"/>
      <c r="J293" s="116"/>
      <c r="K293" s="117">
        <f t="shared" ref="K293:K299" si="182">+J293*$E293</f>
        <v>0</v>
      </c>
      <c r="L293" s="116"/>
      <c r="M293" s="117">
        <f t="shared" si="154"/>
        <v>0</v>
      </c>
      <c r="N293" s="116">
        <v>1</v>
      </c>
      <c r="O293" s="117">
        <f>+N293*$E293*0.8</f>
        <v>1408000.0000000002</v>
      </c>
      <c r="P293" s="116">
        <v>1</v>
      </c>
      <c r="Q293" s="117">
        <f>P293*E293*0.8</f>
        <v>1408000.0000000002</v>
      </c>
      <c r="R293" s="116"/>
      <c r="S293" s="117">
        <f t="shared" si="176"/>
        <v>0</v>
      </c>
      <c r="T293" s="116"/>
      <c r="U293" s="117">
        <f t="shared" si="157"/>
        <v>0</v>
      </c>
      <c r="V293" s="116"/>
      <c r="W293" s="117">
        <f t="shared" si="181"/>
        <v>0</v>
      </c>
      <c r="X293" s="116"/>
      <c r="Y293" s="117">
        <f t="shared" si="67"/>
        <v>0</v>
      </c>
      <c r="Z293" s="116"/>
      <c r="AA293" s="117">
        <f t="shared" si="169"/>
        <v>0</v>
      </c>
      <c r="AB293" s="116"/>
      <c r="AC293" s="117">
        <f t="shared" si="149"/>
        <v>0</v>
      </c>
      <c r="AD293" s="116"/>
      <c r="AE293" s="117">
        <f t="shared" si="172"/>
        <v>0</v>
      </c>
      <c r="AF293" s="116"/>
      <c r="AG293" s="118">
        <f t="shared" si="163"/>
        <v>0</v>
      </c>
      <c r="AH293" s="224"/>
      <c r="AI293" s="227"/>
      <c r="AJ293" s="227"/>
      <c r="AK293" s="150">
        <f t="shared" si="159"/>
        <v>1</v>
      </c>
      <c r="AL293" s="119">
        <f t="shared" si="159"/>
        <v>1408000.0000000002</v>
      </c>
      <c r="AM293" s="120">
        <f t="shared" si="137"/>
        <v>1</v>
      </c>
      <c r="AN293" s="120">
        <v>0</v>
      </c>
      <c r="AO293" s="164">
        <f t="shared" si="138"/>
        <v>1</v>
      </c>
      <c r="AP293" s="150">
        <v>0</v>
      </c>
      <c r="AQ293" s="119">
        <f t="shared" si="139"/>
        <v>0</v>
      </c>
      <c r="AR293" s="150">
        <f t="shared" si="136"/>
        <v>1</v>
      </c>
      <c r="AS293" s="165">
        <f t="shared" si="140"/>
        <v>1760000.0000000002</v>
      </c>
      <c r="AT293" s="181">
        <f>100%-AK293</f>
        <v>0</v>
      </c>
      <c r="AU293" s="167">
        <f>AT293*E293*0.8</f>
        <v>0</v>
      </c>
      <c r="AV293" s="121"/>
      <c r="AW293" s="121"/>
      <c r="AX293" s="121"/>
      <c r="AY293" s="121"/>
      <c r="AZ293" s="121"/>
      <c r="BA293" s="121"/>
      <c r="BB293" s="121"/>
      <c r="BC293" s="121"/>
      <c r="BD293" s="121"/>
      <c r="BE293" s="121"/>
      <c r="BF293" s="121"/>
      <c r="BG293" s="121"/>
    </row>
    <row r="294" spans="1:59" s="122" customFormat="1" ht="15" customHeight="1">
      <c r="A294" s="113"/>
      <c r="B294" s="114" t="s">
        <v>215</v>
      </c>
      <c r="C294" s="115"/>
      <c r="D294" s="116">
        <f>W294/E293</f>
        <v>0.2</v>
      </c>
      <c r="E294" s="117"/>
      <c r="F294" s="116"/>
      <c r="G294" s="117">
        <f t="shared" si="115"/>
        <v>0</v>
      </c>
      <c r="H294" s="116"/>
      <c r="I294" s="117"/>
      <c r="J294" s="116"/>
      <c r="K294" s="117">
        <f t="shared" si="182"/>
        <v>0</v>
      </c>
      <c r="L294" s="116"/>
      <c r="M294" s="117">
        <f t="shared" si="154"/>
        <v>0</v>
      </c>
      <c r="N294" s="116"/>
      <c r="O294" s="117">
        <f t="shared" ref="O294:O295" si="183">+N294*$E294</f>
        <v>0</v>
      </c>
      <c r="P294" s="116"/>
      <c r="Q294" s="117">
        <f t="shared" si="156"/>
        <v>0</v>
      </c>
      <c r="R294" s="116"/>
      <c r="S294" s="117">
        <f t="shared" si="176"/>
        <v>0</v>
      </c>
      <c r="T294" s="116"/>
      <c r="U294" s="117">
        <f t="shared" si="157"/>
        <v>0</v>
      </c>
      <c r="V294" s="116">
        <v>1</v>
      </c>
      <c r="W294" s="117">
        <f>+V294*$E293*0.2</f>
        <v>352000.00000000006</v>
      </c>
      <c r="X294" s="116"/>
      <c r="Y294" s="117">
        <f t="shared" si="67"/>
        <v>0</v>
      </c>
      <c r="Z294" s="116"/>
      <c r="AA294" s="117">
        <f t="shared" si="169"/>
        <v>0</v>
      </c>
      <c r="AB294" s="116"/>
      <c r="AC294" s="117">
        <f t="shared" si="149"/>
        <v>0</v>
      </c>
      <c r="AD294" s="116"/>
      <c r="AE294" s="117">
        <f t="shared" si="172"/>
        <v>0</v>
      </c>
      <c r="AF294" s="116"/>
      <c r="AG294" s="118">
        <f t="shared" si="163"/>
        <v>0</v>
      </c>
      <c r="AH294" s="224"/>
      <c r="AI294" s="227"/>
      <c r="AJ294" s="227"/>
      <c r="AK294" s="150">
        <f t="shared" si="159"/>
        <v>0</v>
      </c>
      <c r="AL294" s="119">
        <f t="shared" si="159"/>
        <v>0</v>
      </c>
      <c r="AM294" s="120">
        <f t="shared" si="137"/>
        <v>0</v>
      </c>
      <c r="AN294" s="120">
        <v>0</v>
      </c>
      <c r="AO294" s="164">
        <f t="shared" si="138"/>
        <v>0</v>
      </c>
      <c r="AP294" s="150">
        <v>0</v>
      </c>
      <c r="AQ294" s="119">
        <f t="shared" si="139"/>
        <v>0</v>
      </c>
      <c r="AR294" s="150">
        <f t="shared" si="136"/>
        <v>0</v>
      </c>
      <c r="AS294" s="165">
        <f t="shared" si="140"/>
        <v>0</v>
      </c>
      <c r="AT294" s="181"/>
      <c r="AU294" s="167">
        <f t="shared" si="141"/>
        <v>0</v>
      </c>
      <c r="AV294" s="121"/>
      <c r="AW294" s="121"/>
      <c r="AX294" s="121"/>
      <c r="AY294" s="121"/>
      <c r="AZ294" s="121"/>
      <c r="BA294" s="121"/>
      <c r="BB294" s="121"/>
      <c r="BC294" s="121"/>
      <c r="BD294" s="121"/>
      <c r="BE294" s="121"/>
      <c r="BF294" s="121"/>
      <c r="BG294" s="121"/>
    </row>
    <row r="295" spans="1:59" s="122" customFormat="1" ht="15" customHeight="1">
      <c r="A295" s="113" t="s">
        <v>216</v>
      </c>
      <c r="B295" s="128" t="s">
        <v>217</v>
      </c>
      <c r="C295" s="129"/>
      <c r="D295" s="130"/>
      <c r="E295" s="117"/>
      <c r="F295" s="116"/>
      <c r="G295" s="117">
        <f t="shared" si="115"/>
        <v>0</v>
      </c>
      <c r="H295" s="116"/>
      <c r="I295" s="117"/>
      <c r="J295" s="116"/>
      <c r="K295" s="117">
        <f t="shared" si="182"/>
        <v>0</v>
      </c>
      <c r="L295" s="116"/>
      <c r="M295" s="117">
        <f t="shared" si="154"/>
        <v>0</v>
      </c>
      <c r="N295" s="116"/>
      <c r="O295" s="117">
        <f t="shared" si="183"/>
        <v>0</v>
      </c>
      <c r="P295" s="116"/>
      <c r="Q295" s="117">
        <f t="shared" si="156"/>
        <v>0</v>
      </c>
      <c r="R295" s="116"/>
      <c r="S295" s="117">
        <f t="shared" si="176"/>
        <v>0</v>
      </c>
      <c r="T295" s="116"/>
      <c r="U295" s="117">
        <f t="shared" si="157"/>
        <v>0</v>
      </c>
      <c r="V295" s="116"/>
      <c r="W295" s="117">
        <f t="shared" ref="W295:W296" si="184">+V295*E295</f>
        <v>0</v>
      </c>
      <c r="X295" s="116"/>
      <c r="Y295" s="117">
        <f t="shared" si="67"/>
        <v>0</v>
      </c>
      <c r="Z295" s="116"/>
      <c r="AA295" s="117">
        <f t="shared" si="169"/>
        <v>0</v>
      </c>
      <c r="AB295" s="116"/>
      <c r="AC295" s="117">
        <f t="shared" si="149"/>
        <v>0</v>
      </c>
      <c r="AD295" s="116"/>
      <c r="AE295" s="117">
        <f t="shared" si="172"/>
        <v>0</v>
      </c>
      <c r="AF295" s="116"/>
      <c r="AG295" s="118">
        <f t="shared" si="163"/>
        <v>0</v>
      </c>
      <c r="AH295" s="224"/>
      <c r="AI295" s="227"/>
      <c r="AJ295" s="227"/>
      <c r="AK295" s="150">
        <f t="shared" si="159"/>
        <v>0</v>
      </c>
      <c r="AL295" s="119">
        <f t="shared" si="159"/>
        <v>0</v>
      </c>
      <c r="AM295" s="120">
        <f t="shared" si="137"/>
        <v>0</v>
      </c>
      <c r="AN295" s="120">
        <v>0</v>
      </c>
      <c r="AO295" s="164">
        <f t="shared" si="138"/>
        <v>0</v>
      </c>
      <c r="AP295" s="150">
        <v>0</v>
      </c>
      <c r="AQ295" s="119">
        <f t="shared" si="139"/>
        <v>0</v>
      </c>
      <c r="AR295" s="150">
        <f t="shared" si="136"/>
        <v>0</v>
      </c>
      <c r="AS295" s="165">
        <f t="shared" si="140"/>
        <v>0</v>
      </c>
      <c r="AT295" s="181"/>
      <c r="AU295" s="167">
        <f t="shared" si="141"/>
        <v>0</v>
      </c>
      <c r="AV295" s="121"/>
      <c r="AW295" s="121"/>
      <c r="AX295" s="121"/>
      <c r="AY295" s="121"/>
      <c r="AZ295" s="121"/>
      <c r="BA295" s="121"/>
      <c r="BB295" s="121"/>
      <c r="BC295" s="121"/>
      <c r="BD295" s="121"/>
      <c r="BE295" s="121"/>
      <c r="BF295" s="121"/>
      <c r="BG295" s="121"/>
    </row>
    <row r="296" spans="1:59" s="122" customFormat="1" ht="15" customHeight="1">
      <c r="A296" s="113"/>
      <c r="B296" s="114" t="s">
        <v>218</v>
      </c>
      <c r="C296" s="115"/>
      <c r="D296" s="116">
        <f>O296/E296</f>
        <v>0</v>
      </c>
      <c r="E296" s="117">
        <f>19300000*0.55-500000-800000</f>
        <v>9315000</v>
      </c>
      <c r="F296" s="116"/>
      <c r="G296" s="117">
        <f t="shared" si="115"/>
        <v>0</v>
      </c>
      <c r="H296" s="116">
        <v>1</v>
      </c>
      <c r="I296" s="117">
        <f>+H296*$E296*0.8</f>
        <v>7452000</v>
      </c>
      <c r="J296" s="116"/>
      <c r="K296" s="117">
        <f t="shared" si="182"/>
        <v>0</v>
      </c>
      <c r="L296" s="116"/>
      <c r="M296" s="117">
        <f t="shared" si="154"/>
        <v>0</v>
      </c>
      <c r="N296" s="116"/>
      <c r="O296" s="117">
        <f>+N296*$E296*0.8</f>
        <v>0</v>
      </c>
      <c r="P296" s="116"/>
      <c r="Q296" s="117">
        <f t="shared" si="156"/>
        <v>0</v>
      </c>
      <c r="R296" s="116"/>
      <c r="S296" s="117">
        <f t="shared" si="176"/>
        <v>0</v>
      </c>
      <c r="T296" s="116"/>
      <c r="U296" s="117">
        <f t="shared" si="157"/>
        <v>0</v>
      </c>
      <c r="V296" s="116"/>
      <c r="W296" s="117">
        <f t="shared" si="184"/>
        <v>0</v>
      </c>
      <c r="X296" s="116"/>
      <c r="Y296" s="117">
        <f t="shared" si="67"/>
        <v>0</v>
      </c>
      <c r="Z296" s="116"/>
      <c r="AA296" s="117">
        <f t="shared" si="169"/>
        <v>0</v>
      </c>
      <c r="AB296" s="116"/>
      <c r="AC296" s="117">
        <f t="shared" si="149"/>
        <v>0</v>
      </c>
      <c r="AD296" s="116"/>
      <c r="AE296" s="117">
        <f t="shared" si="172"/>
        <v>0</v>
      </c>
      <c r="AF296" s="116"/>
      <c r="AG296" s="118">
        <f t="shared" si="163"/>
        <v>0</v>
      </c>
      <c r="AH296" s="224"/>
      <c r="AI296" s="227"/>
      <c r="AJ296" s="227"/>
      <c r="AK296" s="150">
        <f t="shared" ref="AK296:AL311" si="185">F296+H296+L296+P296+T296+X296+AB296+AF296</f>
        <v>1</v>
      </c>
      <c r="AL296" s="119">
        <f t="shared" si="185"/>
        <v>7452000</v>
      </c>
      <c r="AM296" s="120">
        <f t="shared" si="137"/>
        <v>1</v>
      </c>
      <c r="AN296" s="120">
        <v>1</v>
      </c>
      <c r="AO296" s="164">
        <f t="shared" si="138"/>
        <v>0</v>
      </c>
      <c r="AP296" s="150">
        <v>1</v>
      </c>
      <c r="AQ296" s="119">
        <f>AP296*E296*0.8</f>
        <v>7452000</v>
      </c>
      <c r="AR296" s="150">
        <f t="shared" si="136"/>
        <v>0</v>
      </c>
      <c r="AS296" s="165">
        <f t="shared" si="140"/>
        <v>0</v>
      </c>
      <c r="AT296" s="181"/>
      <c r="AU296" s="167">
        <f t="shared" si="141"/>
        <v>0</v>
      </c>
      <c r="AV296" s="121"/>
      <c r="AW296" s="121"/>
      <c r="AX296" s="121"/>
      <c r="AY296" s="121"/>
      <c r="AZ296" s="121"/>
      <c r="BA296" s="121"/>
      <c r="BB296" s="121"/>
      <c r="BC296" s="121"/>
      <c r="BD296" s="121"/>
      <c r="BE296" s="121"/>
      <c r="BF296" s="121"/>
      <c r="BG296" s="121"/>
    </row>
    <row r="297" spans="1:59" s="122" customFormat="1" ht="15" customHeight="1">
      <c r="A297" s="113"/>
      <c r="B297" s="114" t="s">
        <v>219</v>
      </c>
      <c r="C297" s="115"/>
      <c r="D297" s="116">
        <f>W297/E296</f>
        <v>0.2</v>
      </c>
      <c r="E297" s="117"/>
      <c r="F297" s="116"/>
      <c r="G297" s="117">
        <f t="shared" si="115"/>
        <v>0</v>
      </c>
      <c r="H297" s="116"/>
      <c r="I297" s="117"/>
      <c r="J297" s="116"/>
      <c r="K297" s="117">
        <f t="shared" si="182"/>
        <v>0</v>
      </c>
      <c r="L297" s="116"/>
      <c r="M297" s="117">
        <f t="shared" si="154"/>
        <v>0</v>
      </c>
      <c r="N297" s="116"/>
      <c r="O297" s="117">
        <f t="shared" ref="O297:O299" si="186">+N297*$E297</f>
        <v>0</v>
      </c>
      <c r="P297" s="116"/>
      <c r="Q297" s="117">
        <f t="shared" si="156"/>
        <v>0</v>
      </c>
      <c r="R297" s="116"/>
      <c r="S297" s="117">
        <f t="shared" si="176"/>
        <v>0</v>
      </c>
      <c r="T297" s="116"/>
      <c r="U297" s="117">
        <f t="shared" si="157"/>
        <v>0</v>
      </c>
      <c r="V297" s="116">
        <v>1</v>
      </c>
      <c r="W297" s="117">
        <f>+V297*$E296*0.2</f>
        <v>1863000</v>
      </c>
      <c r="X297" s="116"/>
      <c r="Y297" s="117">
        <f t="shared" si="67"/>
        <v>0</v>
      </c>
      <c r="Z297" s="116"/>
      <c r="AA297" s="117">
        <f t="shared" si="169"/>
        <v>0</v>
      </c>
      <c r="AB297" s="116"/>
      <c r="AC297" s="117">
        <f t="shared" si="149"/>
        <v>0</v>
      </c>
      <c r="AD297" s="116"/>
      <c r="AE297" s="117">
        <f t="shared" si="172"/>
        <v>0</v>
      </c>
      <c r="AF297" s="116"/>
      <c r="AG297" s="118">
        <f t="shared" si="163"/>
        <v>0</v>
      </c>
      <c r="AH297" s="224"/>
      <c r="AI297" s="227"/>
      <c r="AJ297" s="227"/>
      <c r="AK297" s="150">
        <f t="shared" si="185"/>
        <v>0</v>
      </c>
      <c r="AL297" s="119">
        <f t="shared" si="185"/>
        <v>0</v>
      </c>
      <c r="AM297" s="120">
        <f t="shared" si="137"/>
        <v>0</v>
      </c>
      <c r="AN297" s="120">
        <v>0</v>
      </c>
      <c r="AO297" s="164">
        <f t="shared" si="138"/>
        <v>0</v>
      </c>
      <c r="AP297" s="150">
        <v>0</v>
      </c>
      <c r="AQ297" s="119">
        <f t="shared" si="139"/>
        <v>0</v>
      </c>
      <c r="AR297" s="150">
        <f t="shared" si="136"/>
        <v>0</v>
      </c>
      <c r="AS297" s="165">
        <f t="shared" si="140"/>
        <v>0</v>
      </c>
      <c r="AT297" s="181"/>
      <c r="AU297" s="167">
        <f t="shared" si="141"/>
        <v>0</v>
      </c>
      <c r="AV297" s="121"/>
      <c r="AW297" s="121"/>
      <c r="AX297" s="121"/>
      <c r="AY297" s="121"/>
      <c r="AZ297" s="121"/>
      <c r="BA297" s="121"/>
      <c r="BB297" s="121"/>
      <c r="BC297" s="121"/>
      <c r="BD297" s="121"/>
      <c r="BE297" s="121"/>
      <c r="BF297" s="121"/>
      <c r="BG297" s="121"/>
    </row>
    <row r="298" spans="1:59" s="122" customFormat="1" ht="15" customHeight="1">
      <c r="A298" s="113"/>
      <c r="B298" s="114" t="s">
        <v>220</v>
      </c>
      <c r="C298" s="115"/>
      <c r="D298" s="116">
        <f>S298/E298</f>
        <v>0</v>
      </c>
      <c r="E298" s="117">
        <f>19300000*0.55</f>
        <v>10615000</v>
      </c>
      <c r="F298" s="116"/>
      <c r="G298" s="117">
        <f t="shared" si="115"/>
        <v>0</v>
      </c>
      <c r="H298" s="116">
        <v>1</v>
      </c>
      <c r="I298" s="117">
        <f>+H298*$E298*0.8</f>
        <v>8492000</v>
      </c>
      <c r="J298" s="116"/>
      <c r="K298" s="117">
        <f t="shared" si="182"/>
        <v>0</v>
      </c>
      <c r="L298" s="116"/>
      <c r="M298" s="117">
        <f t="shared" si="154"/>
        <v>0</v>
      </c>
      <c r="N298" s="116"/>
      <c r="O298" s="117">
        <f t="shared" si="186"/>
        <v>0</v>
      </c>
      <c r="P298" s="116"/>
      <c r="Q298" s="117">
        <f t="shared" si="156"/>
        <v>0</v>
      </c>
      <c r="R298" s="116"/>
      <c r="S298" s="117">
        <f>+R298*$E298*0.8</f>
        <v>0</v>
      </c>
      <c r="T298" s="116"/>
      <c r="U298" s="117">
        <f t="shared" si="157"/>
        <v>0</v>
      </c>
      <c r="V298" s="116"/>
      <c r="W298" s="117">
        <f>+V298*E298</f>
        <v>0</v>
      </c>
      <c r="X298" s="116"/>
      <c r="Y298" s="117">
        <f t="shared" si="67"/>
        <v>0</v>
      </c>
      <c r="Z298" s="116"/>
      <c r="AA298" s="117">
        <f t="shared" si="169"/>
        <v>0</v>
      </c>
      <c r="AB298" s="116"/>
      <c r="AC298" s="117">
        <f t="shared" si="149"/>
        <v>0</v>
      </c>
      <c r="AD298" s="116"/>
      <c r="AE298" s="117">
        <f t="shared" si="172"/>
        <v>0</v>
      </c>
      <c r="AF298" s="116"/>
      <c r="AG298" s="118">
        <f t="shared" si="163"/>
        <v>0</v>
      </c>
      <c r="AH298" s="224"/>
      <c r="AI298" s="227"/>
      <c r="AJ298" s="227"/>
      <c r="AK298" s="150">
        <f t="shared" si="185"/>
        <v>1</v>
      </c>
      <c r="AL298" s="119">
        <f t="shared" si="185"/>
        <v>8492000</v>
      </c>
      <c r="AM298" s="120">
        <f t="shared" si="137"/>
        <v>1</v>
      </c>
      <c r="AN298" s="120">
        <v>1</v>
      </c>
      <c r="AO298" s="164">
        <f t="shared" si="138"/>
        <v>0</v>
      </c>
      <c r="AP298" s="150">
        <v>1</v>
      </c>
      <c r="AQ298" s="119">
        <f>AP298*E298*0.8</f>
        <v>8492000</v>
      </c>
      <c r="AR298" s="150">
        <f t="shared" si="136"/>
        <v>0</v>
      </c>
      <c r="AS298" s="165">
        <f t="shared" si="140"/>
        <v>0</v>
      </c>
      <c r="AT298" s="181"/>
      <c r="AU298" s="167">
        <f t="shared" si="141"/>
        <v>0</v>
      </c>
      <c r="AV298" s="121"/>
      <c r="AW298" s="121"/>
      <c r="AX298" s="121"/>
      <c r="AY298" s="121"/>
      <c r="AZ298" s="121"/>
      <c r="BA298" s="121"/>
      <c r="BB298" s="121"/>
      <c r="BC298" s="121"/>
      <c r="BD298" s="121"/>
      <c r="BE298" s="121"/>
      <c r="BF298" s="121"/>
      <c r="BG298" s="121"/>
    </row>
    <row r="299" spans="1:59" s="122" customFormat="1" ht="15" customHeight="1">
      <c r="A299" s="113"/>
      <c r="B299" s="114" t="s">
        <v>221</v>
      </c>
      <c r="C299" s="115"/>
      <c r="D299" s="116">
        <f>W299/E298</f>
        <v>0.2</v>
      </c>
      <c r="E299" s="117"/>
      <c r="F299" s="116"/>
      <c r="G299" s="117">
        <f t="shared" si="115"/>
        <v>0</v>
      </c>
      <c r="H299" s="116"/>
      <c r="I299" s="117"/>
      <c r="J299" s="116"/>
      <c r="K299" s="117">
        <f t="shared" si="182"/>
        <v>0</v>
      </c>
      <c r="L299" s="116"/>
      <c r="M299" s="117">
        <f t="shared" si="154"/>
        <v>0</v>
      </c>
      <c r="N299" s="116"/>
      <c r="O299" s="117">
        <f t="shared" si="186"/>
        <v>0</v>
      </c>
      <c r="P299" s="116"/>
      <c r="Q299" s="117">
        <f t="shared" si="156"/>
        <v>0</v>
      </c>
      <c r="R299" s="116"/>
      <c r="S299" s="117">
        <f>+R299*$E299</f>
        <v>0</v>
      </c>
      <c r="T299" s="116"/>
      <c r="U299" s="117">
        <f t="shared" si="157"/>
        <v>0</v>
      </c>
      <c r="V299" s="116">
        <v>1</v>
      </c>
      <c r="W299" s="117">
        <f>+V299*$E298*0.2</f>
        <v>2123000</v>
      </c>
      <c r="X299" s="116"/>
      <c r="Y299" s="117">
        <f t="shared" si="67"/>
        <v>0</v>
      </c>
      <c r="Z299" s="116"/>
      <c r="AA299" s="117">
        <f t="shared" si="169"/>
        <v>0</v>
      </c>
      <c r="AB299" s="116"/>
      <c r="AC299" s="117">
        <f t="shared" si="149"/>
        <v>0</v>
      </c>
      <c r="AD299" s="116"/>
      <c r="AE299" s="117">
        <f t="shared" si="172"/>
        <v>0</v>
      </c>
      <c r="AF299" s="116"/>
      <c r="AG299" s="118">
        <f t="shared" si="163"/>
        <v>0</v>
      </c>
      <c r="AH299" s="224"/>
      <c r="AI299" s="227"/>
      <c r="AJ299" s="227"/>
      <c r="AK299" s="150">
        <f t="shared" si="185"/>
        <v>0</v>
      </c>
      <c r="AL299" s="119">
        <f t="shared" si="185"/>
        <v>0</v>
      </c>
      <c r="AM299" s="120">
        <f t="shared" si="137"/>
        <v>0</v>
      </c>
      <c r="AN299" s="120">
        <v>0</v>
      </c>
      <c r="AO299" s="164">
        <f t="shared" si="138"/>
        <v>0</v>
      </c>
      <c r="AP299" s="150">
        <v>0</v>
      </c>
      <c r="AQ299" s="119">
        <f t="shared" si="139"/>
        <v>0</v>
      </c>
      <c r="AR299" s="150">
        <f t="shared" si="136"/>
        <v>0</v>
      </c>
      <c r="AS299" s="165">
        <f t="shared" si="140"/>
        <v>0</v>
      </c>
      <c r="AT299" s="181"/>
      <c r="AU299" s="167">
        <f t="shared" si="141"/>
        <v>0</v>
      </c>
      <c r="AV299" s="121"/>
      <c r="AW299" s="121"/>
      <c r="AX299" s="121"/>
      <c r="AY299" s="121"/>
      <c r="AZ299" s="121"/>
      <c r="BA299" s="121"/>
      <c r="BB299" s="121"/>
      <c r="BC299" s="121"/>
      <c r="BD299" s="121"/>
      <c r="BE299" s="121"/>
      <c r="BF299" s="121"/>
      <c r="BG299" s="121"/>
    </row>
    <row r="300" spans="1:59" s="122" customFormat="1" ht="15" customHeight="1">
      <c r="A300" s="113"/>
      <c r="B300" s="114" t="s">
        <v>222</v>
      </c>
      <c r="C300" s="115"/>
      <c r="D300" s="116">
        <f>O300/E300</f>
        <v>0</v>
      </c>
      <c r="E300" s="117">
        <f>5400000*0.55+500000</f>
        <v>3470000.0000000005</v>
      </c>
      <c r="F300" s="116"/>
      <c r="G300" s="117">
        <f t="shared" si="115"/>
        <v>0</v>
      </c>
      <c r="H300" s="116"/>
      <c r="I300" s="117">
        <f>+H300*$E300</f>
        <v>0</v>
      </c>
      <c r="J300" s="116"/>
      <c r="K300" s="117">
        <f>+J300*$E300*0.8</f>
        <v>0</v>
      </c>
      <c r="L300" s="116"/>
      <c r="M300" s="117">
        <f t="shared" si="154"/>
        <v>0</v>
      </c>
      <c r="N300" s="116"/>
      <c r="O300" s="117">
        <f>+N300*$E300*0.8</f>
        <v>0</v>
      </c>
      <c r="P300" s="116"/>
      <c r="Q300" s="117">
        <f t="shared" si="156"/>
        <v>0</v>
      </c>
      <c r="R300" s="116">
        <v>1</v>
      </c>
      <c r="S300" s="117">
        <f>+R300*$E300*0.8</f>
        <v>2776000.0000000005</v>
      </c>
      <c r="T300" s="123">
        <v>1</v>
      </c>
      <c r="U300" s="117">
        <f>T300*E300*0.8</f>
        <v>2776000.0000000005</v>
      </c>
      <c r="V300" s="116"/>
      <c r="W300" s="117">
        <f>+V300*E300</f>
        <v>0</v>
      </c>
      <c r="X300" s="116"/>
      <c r="Y300" s="117">
        <f t="shared" si="67"/>
        <v>0</v>
      </c>
      <c r="Z300" s="116"/>
      <c r="AA300" s="117">
        <f t="shared" si="169"/>
        <v>0</v>
      </c>
      <c r="AB300" s="116"/>
      <c r="AC300" s="117">
        <f t="shared" si="149"/>
        <v>0</v>
      </c>
      <c r="AD300" s="116"/>
      <c r="AE300" s="117">
        <f t="shared" si="172"/>
        <v>0</v>
      </c>
      <c r="AF300" s="116"/>
      <c r="AG300" s="118">
        <f t="shared" si="163"/>
        <v>0</v>
      </c>
      <c r="AH300" s="224"/>
      <c r="AI300" s="227"/>
      <c r="AJ300" s="227"/>
      <c r="AK300" s="150">
        <f t="shared" si="185"/>
        <v>1</v>
      </c>
      <c r="AL300" s="119">
        <f t="shared" si="185"/>
        <v>2776000.0000000005</v>
      </c>
      <c r="AM300" s="120">
        <f t="shared" si="137"/>
        <v>1</v>
      </c>
      <c r="AN300" s="120">
        <v>1</v>
      </c>
      <c r="AO300" s="164">
        <f t="shared" si="138"/>
        <v>0</v>
      </c>
      <c r="AP300" s="150">
        <v>1</v>
      </c>
      <c r="AQ300" s="119">
        <f>AP300*E300*0.8</f>
        <v>2776000.0000000005</v>
      </c>
      <c r="AR300" s="150">
        <f t="shared" si="136"/>
        <v>0</v>
      </c>
      <c r="AS300" s="165">
        <f t="shared" si="140"/>
        <v>0</v>
      </c>
      <c r="AT300" s="181"/>
      <c r="AU300" s="167">
        <f t="shared" si="141"/>
        <v>0</v>
      </c>
      <c r="AV300" s="121"/>
      <c r="AW300" s="121"/>
      <c r="AX300" s="121"/>
      <c r="AY300" s="121"/>
      <c r="AZ300" s="121"/>
      <c r="BA300" s="121"/>
      <c r="BB300" s="121"/>
      <c r="BC300" s="121"/>
      <c r="BD300" s="121"/>
      <c r="BE300" s="121"/>
      <c r="BF300" s="121"/>
      <c r="BG300" s="121"/>
    </row>
    <row r="301" spans="1:59" s="122" customFormat="1" ht="15" customHeight="1">
      <c r="A301" s="113"/>
      <c r="B301" s="114" t="s">
        <v>223</v>
      </c>
      <c r="C301" s="115"/>
      <c r="D301" s="116">
        <f>W301/E300</f>
        <v>0.2</v>
      </c>
      <c r="E301" s="117"/>
      <c r="F301" s="116"/>
      <c r="G301" s="117">
        <f t="shared" si="115"/>
        <v>0</v>
      </c>
      <c r="H301" s="116"/>
      <c r="I301" s="117"/>
      <c r="J301" s="116"/>
      <c r="K301" s="117">
        <f t="shared" ref="K301:K309" si="187">+J301*$E301</f>
        <v>0</v>
      </c>
      <c r="L301" s="116"/>
      <c r="M301" s="117">
        <f t="shared" si="154"/>
        <v>0</v>
      </c>
      <c r="N301" s="116"/>
      <c r="O301" s="117">
        <f>+N301*$E301</f>
        <v>0</v>
      </c>
      <c r="P301" s="116"/>
      <c r="Q301" s="117">
        <f t="shared" si="156"/>
        <v>0</v>
      </c>
      <c r="R301" s="116"/>
      <c r="S301" s="117">
        <f>+R301*$E301</f>
        <v>0</v>
      </c>
      <c r="T301" s="116"/>
      <c r="U301" s="117">
        <f>T301*E301</f>
        <v>0</v>
      </c>
      <c r="V301" s="116">
        <v>1</v>
      </c>
      <c r="W301" s="117">
        <f>+V301*$E300*0.2</f>
        <v>694000.00000000012</v>
      </c>
      <c r="X301" s="116"/>
      <c r="Y301" s="117">
        <f t="shared" si="67"/>
        <v>0</v>
      </c>
      <c r="Z301" s="116"/>
      <c r="AA301" s="117">
        <f t="shared" si="169"/>
        <v>0</v>
      </c>
      <c r="AB301" s="116"/>
      <c r="AC301" s="117">
        <f t="shared" si="149"/>
        <v>0</v>
      </c>
      <c r="AD301" s="116"/>
      <c r="AE301" s="117">
        <f t="shared" si="172"/>
        <v>0</v>
      </c>
      <c r="AF301" s="116"/>
      <c r="AG301" s="118">
        <f t="shared" si="163"/>
        <v>0</v>
      </c>
      <c r="AH301" s="224"/>
      <c r="AI301" s="227"/>
      <c r="AJ301" s="227"/>
      <c r="AK301" s="150">
        <f t="shared" si="185"/>
        <v>0</v>
      </c>
      <c r="AL301" s="119">
        <f t="shared" si="185"/>
        <v>0</v>
      </c>
      <c r="AM301" s="120">
        <f t="shared" si="137"/>
        <v>0</v>
      </c>
      <c r="AN301" s="120">
        <v>0</v>
      </c>
      <c r="AO301" s="164">
        <f t="shared" si="138"/>
        <v>0</v>
      </c>
      <c r="AP301" s="150">
        <v>0</v>
      </c>
      <c r="AQ301" s="119">
        <f t="shared" si="139"/>
        <v>0</v>
      </c>
      <c r="AR301" s="150">
        <f t="shared" si="136"/>
        <v>0</v>
      </c>
      <c r="AS301" s="165">
        <f t="shared" si="140"/>
        <v>0</v>
      </c>
      <c r="AT301" s="181"/>
      <c r="AU301" s="167">
        <f t="shared" si="141"/>
        <v>0</v>
      </c>
      <c r="AV301" s="121"/>
      <c r="AW301" s="121"/>
      <c r="AX301" s="121"/>
      <c r="AY301" s="121"/>
      <c r="AZ301" s="121"/>
      <c r="BA301" s="121"/>
      <c r="BB301" s="121"/>
      <c r="BC301" s="121"/>
      <c r="BD301" s="121"/>
      <c r="BE301" s="121"/>
      <c r="BF301" s="121"/>
      <c r="BG301" s="121"/>
    </row>
    <row r="302" spans="1:59" s="122" customFormat="1" ht="15" customHeight="1">
      <c r="A302" s="113"/>
      <c r="B302" s="114" t="s">
        <v>224</v>
      </c>
      <c r="C302" s="115"/>
      <c r="D302" s="116">
        <f>W302/E302</f>
        <v>0</v>
      </c>
      <c r="E302" s="117">
        <f>700000*0.55</f>
        <v>385000.00000000006</v>
      </c>
      <c r="F302" s="116"/>
      <c r="G302" s="117">
        <f t="shared" si="115"/>
        <v>0</v>
      </c>
      <c r="H302" s="116"/>
      <c r="I302" s="117">
        <f>+H302*$E302</f>
        <v>0</v>
      </c>
      <c r="J302" s="116"/>
      <c r="K302" s="117">
        <f t="shared" si="187"/>
        <v>0</v>
      </c>
      <c r="L302" s="116"/>
      <c r="M302" s="117">
        <f t="shared" si="154"/>
        <v>0</v>
      </c>
      <c r="N302" s="116"/>
      <c r="O302" s="117">
        <f>+N302*$E302*0.8</f>
        <v>0</v>
      </c>
      <c r="P302" s="116"/>
      <c r="Q302" s="117">
        <f t="shared" si="156"/>
        <v>0</v>
      </c>
      <c r="R302" s="116">
        <v>1</v>
      </c>
      <c r="S302" s="117">
        <f>+R302*$E302*0.8</f>
        <v>308000.00000000006</v>
      </c>
      <c r="T302" s="123">
        <v>1</v>
      </c>
      <c r="U302" s="117">
        <f>T302*E302*0.8</f>
        <v>308000.00000000006</v>
      </c>
      <c r="V302" s="116"/>
      <c r="W302" s="117">
        <f>+V302*$E302*0.8</f>
        <v>0</v>
      </c>
      <c r="X302" s="116"/>
      <c r="Y302" s="117">
        <f t="shared" si="67"/>
        <v>0</v>
      </c>
      <c r="Z302" s="116"/>
      <c r="AA302" s="117">
        <f t="shared" si="169"/>
        <v>0</v>
      </c>
      <c r="AB302" s="116"/>
      <c r="AC302" s="117">
        <f t="shared" si="149"/>
        <v>0</v>
      </c>
      <c r="AD302" s="116"/>
      <c r="AE302" s="117">
        <f t="shared" si="172"/>
        <v>0</v>
      </c>
      <c r="AF302" s="116"/>
      <c r="AG302" s="118">
        <f t="shared" si="163"/>
        <v>0</v>
      </c>
      <c r="AH302" s="224"/>
      <c r="AI302" s="227"/>
      <c r="AJ302" s="227"/>
      <c r="AK302" s="150">
        <f t="shared" si="185"/>
        <v>1</v>
      </c>
      <c r="AL302" s="119">
        <f t="shared" si="185"/>
        <v>308000.00000000006</v>
      </c>
      <c r="AM302" s="120">
        <f t="shared" si="137"/>
        <v>1</v>
      </c>
      <c r="AN302" s="120">
        <v>1</v>
      </c>
      <c r="AO302" s="164">
        <f t="shared" si="138"/>
        <v>0</v>
      </c>
      <c r="AP302" s="150">
        <v>1</v>
      </c>
      <c r="AQ302" s="119">
        <f>AP302*E302*0.8</f>
        <v>308000.00000000006</v>
      </c>
      <c r="AR302" s="150">
        <f t="shared" si="136"/>
        <v>0</v>
      </c>
      <c r="AS302" s="165">
        <f t="shared" si="140"/>
        <v>0</v>
      </c>
      <c r="AT302" s="181"/>
      <c r="AU302" s="167">
        <f t="shared" si="141"/>
        <v>0</v>
      </c>
      <c r="AV302" s="121"/>
      <c r="AW302" s="121"/>
      <c r="AX302" s="121"/>
      <c r="AY302" s="121"/>
      <c r="AZ302" s="121"/>
      <c r="BA302" s="121"/>
      <c r="BB302" s="121"/>
      <c r="BC302" s="121"/>
      <c r="BD302" s="121"/>
      <c r="BE302" s="121"/>
      <c r="BF302" s="121"/>
      <c r="BG302" s="121"/>
    </row>
    <row r="303" spans="1:59" s="122" customFormat="1" ht="15" customHeight="1">
      <c r="A303" s="113"/>
      <c r="B303" s="114" t="s">
        <v>225</v>
      </c>
      <c r="C303" s="115"/>
      <c r="D303" s="116">
        <f>AE303/E302</f>
        <v>0.2</v>
      </c>
      <c r="E303" s="117"/>
      <c r="F303" s="116"/>
      <c r="G303" s="117">
        <f t="shared" si="115"/>
        <v>0</v>
      </c>
      <c r="H303" s="116"/>
      <c r="I303" s="117"/>
      <c r="J303" s="116"/>
      <c r="K303" s="117">
        <f t="shared" si="187"/>
        <v>0</v>
      </c>
      <c r="L303" s="116"/>
      <c r="M303" s="117">
        <f t="shared" si="154"/>
        <v>0</v>
      </c>
      <c r="N303" s="116"/>
      <c r="O303" s="117">
        <f t="shared" ref="O303:O306" si="188">+N303*$E303</f>
        <v>0</v>
      </c>
      <c r="P303" s="116"/>
      <c r="Q303" s="117">
        <f t="shared" si="156"/>
        <v>0</v>
      </c>
      <c r="R303" s="116"/>
      <c r="S303" s="117">
        <f t="shared" ref="S303:S309" si="189">+R303*$E303</f>
        <v>0</v>
      </c>
      <c r="T303" s="116"/>
      <c r="U303" s="117">
        <f t="shared" ref="U303:U309" si="190">T303*E303</f>
        <v>0</v>
      </c>
      <c r="V303" s="116"/>
      <c r="W303" s="117">
        <f t="shared" ref="W303:W304" si="191">+V303*E303</f>
        <v>0</v>
      </c>
      <c r="X303" s="116"/>
      <c r="Y303" s="117">
        <f t="shared" si="67"/>
        <v>0</v>
      </c>
      <c r="Z303" s="116"/>
      <c r="AA303" s="117">
        <f t="shared" si="169"/>
        <v>0</v>
      </c>
      <c r="AB303" s="116"/>
      <c r="AC303" s="117">
        <f t="shared" si="149"/>
        <v>0</v>
      </c>
      <c r="AD303" s="116">
        <v>1</v>
      </c>
      <c r="AE303" s="117">
        <f>+AD303*E302*0.2</f>
        <v>77000.000000000015</v>
      </c>
      <c r="AF303" s="116"/>
      <c r="AG303" s="118">
        <f t="shared" si="163"/>
        <v>0</v>
      </c>
      <c r="AH303" s="224"/>
      <c r="AI303" s="227"/>
      <c r="AJ303" s="227"/>
      <c r="AK303" s="150">
        <f t="shared" si="185"/>
        <v>0</v>
      </c>
      <c r="AL303" s="119">
        <f t="shared" si="185"/>
        <v>0</v>
      </c>
      <c r="AM303" s="120">
        <f t="shared" si="137"/>
        <v>0</v>
      </c>
      <c r="AN303" s="120">
        <v>0</v>
      </c>
      <c r="AO303" s="164">
        <f t="shared" si="138"/>
        <v>0</v>
      </c>
      <c r="AP303" s="150">
        <v>0</v>
      </c>
      <c r="AQ303" s="119">
        <f t="shared" si="139"/>
        <v>0</v>
      </c>
      <c r="AR303" s="150">
        <f t="shared" si="136"/>
        <v>0</v>
      </c>
      <c r="AS303" s="165">
        <f t="shared" si="140"/>
        <v>0</v>
      </c>
      <c r="AT303" s="181"/>
      <c r="AU303" s="167">
        <f t="shared" si="141"/>
        <v>0</v>
      </c>
      <c r="AV303" s="121"/>
      <c r="AW303" s="121"/>
      <c r="AX303" s="121"/>
      <c r="AY303" s="121"/>
      <c r="AZ303" s="121"/>
      <c r="BA303" s="121"/>
      <c r="BB303" s="121"/>
      <c r="BC303" s="121"/>
      <c r="BD303" s="121"/>
      <c r="BE303" s="121"/>
      <c r="BF303" s="121"/>
      <c r="BG303" s="121"/>
    </row>
    <row r="304" spans="1:59" s="122" customFormat="1" ht="15" customHeight="1">
      <c r="A304" s="113" t="s">
        <v>226</v>
      </c>
      <c r="B304" s="128" t="s">
        <v>227</v>
      </c>
      <c r="C304" s="129"/>
      <c r="D304" s="130"/>
      <c r="E304" s="117"/>
      <c r="F304" s="116"/>
      <c r="G304" s="117">
        <f t="shared" si="115"/>
        <v>0</v>
      </c>
      <c r="H304" s="116"/>
      <c r="I304" s="117"/>
      <c r="J304" s="116"/>
      <c r="K304" s="117">
        <f t="shared" si="187"/>
        <v>0</v>
      </c>
      <c r="L304" s="116"/>
      <c r="M304" s="117">
        <f t="shared" si="154"/>
        <v>0</v>
      </c>
      <c r="N304" s="116"/>
      <c r="O304" s="117">
        <f t="shared" si="188"/>
        <v>0</v>
      </c>
      <c r="P304" s="116"/>
      <c r="Q304" s="117">
        <f t="shared" si="156"/>
        <v>0</v>
      </c>
      <c r="R304" s="116"/>
      <c r="S304" s="117">
        <f t="shared" si="189"/>
        <v>0</v>
      </c>
      <c r="T304" s="116"/>
      <c r="U304" s="117">
        <f t="shared" si="190"/>
        <v>0</v>
      </c>
      <c r="V304" s="116"/>
      <c r="W304" s="117">
        <f t="shared" si="191"/>
        <v>0</v>
      </c>
      <c r="X304" s="116"/>
      <c r="Y304" s="117">
        <f t="shared" si="67"/>
        <v>0</v>
      </c>
      <c r="Z304" s="116"/>
      <c r="AA304" s="117">
        <f t="shared" si="169"/>
        <v>0</v>
      </c>
      <c r="AB304" s="116"/>
      <c r="AC304" s="117">
        <f t="shared" si="149"/>
        <v>0</v>
      </c>
      <c r="AD304" s="116"/>
      <c r="AE304" s="117">
        <f t="shared" ref="AE304:AE307" si="192">+AD304*E304</f>
        <v>0</v>
      </c>
      <c r="AF304" s="116"/>
      <c r="AG304" s="118">
        <f t="shared" si="163"/>
        <v>0</v>
      </c>
      <c r="AH304" s="224"/>
      <c r="AI304" s="227"/>
      <c r="AJ304" s="227"/>
      <c r="AK304" s="150">
        <f t="shared" si="185"/>
        <v>0</v>
      </c>
      <c r="AL304" s="119">
        <f t="shared" si="185"/>
        <v>0</v>
      </c>
      <c r="AM304" s="120">
        <f t="shared" si="137"/>
        <v>0</v>
      </c>
      <c r="AN304" s="120">
        <v>0</v>
      </c>
      <c r="AO304" s="164">
        <f t="shared" si="138"/>
        <v>0</v>
      </c>
      <c r="AP304" s="150">
        <v>0</v>
      </c>
      <c r="AQ304" s="119">
        <f t="shared" si="139"/>
        <v>0</v>
      </c>
      <c r="AR304" s="150">
        <f t="shared" si="136"/>
        <v>0</v>
      </c>
      <c r="AS304" s="165">
        <f t="shared" si="140"/>
        <v>0</v>
      </c>
      <c r="AT304" s="181"/>
      <c r="AU304" s="167">
        <f t="shared" si="141"/>
        <v>0</v>
      </c>
      <c r="AV304" s="121"/>
      <c r="AW304" s="121"/>
      <c r="AX304" s="121"/>
      <c r="AY304" s="121"/>
      <c r="AZ304" s="121"/>
      <c r="BA304" s="121"/>
      <c r="BB304" s="121"/>
      <c r="BC304" s="121"/>
      <c r="BD304" s="121"/>
      <c r="BE304" s="121"/>
      <c r="BF304" s="121"/>
      <c r="BG304" s="121"/>
    </row>
    <row r="305" spans="1:59" s="122" customFormat="1" ht="15" customHeight="1">
      <c r="A305" s="113"/>
      <c r="B305" s="114" t="s">
        <v>228</v>
      </c>
      <c r="C305" s="115"/>
      <c r="D305" s="116">
        <f>W305/E305</f>
        <v>0.8</v>
      </c>
      <c r="E305" s="117">
        <f>6000000*0.55+500000</f>
        <v>3800000.0000000005</v>
      </c>
      <c r="F305" s="116"/>
      <c r="G305" s="117">
        <f t="shared" si="115"/>
        <v>0</v>
      </c>
      <c r="H305" s="116"/>
      <c r="I305" s="117">
        <f>+H305*$E305</f>
        <v>0</v>
      </c>
      <c r="J305" s="116"/>
      <c r="K305" s="117">
        <f t="shared" si="187"/>
        <v>0</v>
      </c>
      <c r="L305" s="116"/>
      <c r="M305" s="117">
        <f t="shared" si="154"/>
        <v>0</v>
      </c>
      <c r="N305" s="116"/>
      <c r="O305" s="117">
        <f t="shared" si="188"/>
        <v>0</v>
      </c>
      <c r="P305" s="116"/>
      <c r="Q305" s="117">
        <f t="shared" si="156"/>
        <v>0</v>
      </c>
      <c r="R305" s="116"/>
      <c r="S305" s="117">
        <f t="shared" si="189"/>
        <v>0</v>
      </c>
      <c r="T305" s="116"/>
      <c r="U305" s="117">
        <f t="shared" si="190"/>
        <v>0</v>
      </c>
      <c r="V305" s="116">
        <v>1</v>
      </c>
      <c r="W305" s="117">
        <f>+V305*$E305*0.8</f>
        <v>3040000.0000000005</v>
      </c>
      <c r="X305" s="123">
        <v>1</v>
      </c>
      <c r="Y305" s="117">
        <f>X305*E305*0.8</f>
        <v>3040000.0000000005</v>
      </c>
      <c r="Z305" s="116"/>
      <c r="AA305" s="117">
        <f t="shared" si="169"/>
        <v>0</v>
      </c>
      <c r="AB305" s="116"/>
      <c r="AC305" s="117">
        <f t="shared" si="149"/>
        <v>0</v>
      </c>
      <c r="AD305" s="116"/>
      <c r="AE305" s="117">
        <f t="shared" si="192"/>
        <v>0</v>
      </c>
      <c r="AF305" s="116"/>
      <c r="AG305" s="118">
        <f t="shared" si="163"/>
        <v>0</v>
      </c>
      <c r="AH305" s="224"/>
      <c r="AI305" s="227"/>
      <c r="AJ305" s="227"/>
      <c r="AK305" s="150">
        <f t="shared" si="185"/>
        <v>1</v>
      </c>
      <c r="AL305" s="119">
        <f t="shared" si="185"/>
        <v>3040000.0000000005</v>
      </c>
      <c r="AM305" s="120">
        <f t="shared" si="137"/>
        <v>1</v>
      </c>
      <c r="AN305" s="120">
        <v>1</v>
      </c>
      <c r="AO305" s="164">
        <f t="shared" si="138"/>
        <v>0</v>
      </c>
      <c r="AP305" s="150">
        <v>0.9</v>
      </c>
      <c r="AQ305" s="119">
        <f>AP305*E305*0.8</f>
        <v>2736000.0000000005</v>
      </c>
      <c r="AR305" s="150">
        <f t="shared" si="136"/>
        <v>9.9999999999999978E-2</v>
      </c>
      <c r="AS305" s="165">
        <f t="shared" si="140"/>
        <v>379999.99999999994</v>
      </c>
      <c r="AT305" s="181">
        <f>100%-AK305</f>
        <v>0</v>
      </c>
      <c r="AU305" s="167">
        <f>AT305*E305*0.8</f>
        <v>0</v>
      </c>
      <c r="AV305" s="121"/>
      <c r="AW305" s="121"/>
      <c r="AX305" s="121"/>
      <c r="AY305" s="121"/>
      <c r="AZ305" s="121"/>
      <c r="BA305" s="121"/>
      <c r="BB305" s="121"/>
      <c r="BC305" s="121"/>
      <c r="BD305" s="121"/>
      <c r="BE305" s="121"/>
      <c r="BF305" s="121"/>
      <c r="BG305" s="121"/>
    </row>
    <row r="306" spans="1:59" s="122" customFormat="1" ht="15" customHeight="1">
      <c r="A306" s="113"/>
      <c r="B306" s="114" t="s">
        <v>229</v>
      </c>
      <c r="C306" s="115"/>
      <c r="D306" s="116">
        <f>AA306/E305</f>
        <v>0.2</v>
      </c>
      <c r="E306" s="117"/>
      <c r="F306" s="116"/>
      <c r="G306" s="117">
        <f t="shared" si="115"/>
        <v>0</v>
      </c>
      <c r="H306" s="116"/>
      <c r="I306" s="117"/>
      <c r="J306" s="116"/>
      <c r="K306" s="117">
        <f t="shared" si="187"/>
        <v>0</v>
      </c>
      <c r="L306" s="116"/>
      <c r="M306" s="117">
        <f t="shared" si="154"/>
        <v>0</v>
      </c>
      <c r="N306" s="116"/>
      <c r="O306" s="117">
        <f t="shared" si="188"/>
        <v>0</v>
      </c>
      <c r="P306" s="116"/>
      <c r="Q306" s="117">
        <f t="shared" si="156"/>
        <v>0</v>
      </c>
      <c r="R306" s="116"/>
      <c r="S306" s="117">
        <f t="shared" si="189"/>
        <v>0</v>
      </c>
      <c r="T306" s="116"/>
      <c r="U306" s="117">
        <f t="shared" si="190"/>
        <v>0</v>
      </c>
      <c r="V306" s="116"/>
      <c r="W306" s="117">
        <f t="shared" ref="W306:W311" si="193">+V306*E306</f>
        <v>0</v>
      </c>
      <c r="X306" s="116"/>
      <c r="Y306" s="117">
        <f t="shared" ref="Y306:Y333" si="194">X306*E306</f>
        <v>0</v>
      </c>
      <c r="Z306" s="116">
        <v>1</v>
      </c>
      <c r="AA306" s="117">
        <f>+Z306*$E305*0.2</f>
        <v>760000.00000000012</v>
      </c>
      <c r="AB306" s="116"/>
      <c r="AC306" s="117">
        <f t="shared" si="149"/>
        <v>0</v>
      </c>
      <c r="AD306" s="116"/>
      <c r="AE306" s="117">
        <f t="shared" si="192"/>
        <v>0</v>
      </c>
      <c r="AF306" s="116"/>
      <c r="AG306" s="118">
        <f t="shared" si="163"/>
        <v>0</v>
      </c>
      <c r="AH306" s="224"/>
      <c r="AI306" s="227"/>
      <c r="AJ306" s="227"/>
      <c r="AK306" s="150">
        <f t="shared" si="185"/>
        <v>0</v>
      </c>
      <c r="AL306" s="119">
        <f t="shared" si="185"/>
        <v>0</v>
      </c>
      <c r="AM306" s="120">
        <f t="shared" si="137"/>
        <v>0</v>
      </c>
      <c r="AN306" s="120">
        <v>0</v>
      </c>
      <c r="AO306" s="164">
        <f t="shared" si="138"/>
        <v>0</v>
      </c>
      <c r="AP306" s="150">
        <v>0</v>
      </c>
      <c r="AQ306" s="119">
        <f t="shared" si="139"/>
        <v>0</v>
      </c>
      <c r="AR306" s="150">
        <f t="shared" si="136"/>
        <v>0</v>
      </c>
      <c r="AS306" s="165">
        <f t="shared" si="140"/>
        <v>0</v>
      </c>
      <c r="AT306" s="181"/>
      <c r="AU306" s="167">
        <f t="shared" si="141"/>
        <v>0</v>
      </c>
      <c r="AV306" s="121"/>
      <c r="AW306" s="121"/>
      <c r="AX306" s="121"/>
      <c r="AY306" s="121"/>
      <c r="AZ306" s="121"/>
      <c r="BA306" s="121"/>
      <c r="BB306" s="121"/>
      <c r="BC306" s="121"/>
      <c r="BD306" s="121"/>
      <c r="BE306" s="121"/>
      <c r="BF306" s="121"/>
      <c r="BG306" s="121"/>
    </row>
    <row r="307" spans="1:59" s="122" customFormat="1" ht="15" customHeight="1">
      <c r="A307" s="113"/>
      <c r="B307" s="114" t="s">
        <v>230</v>
      </c>
      <c r="C307" s="115"/>
      <c r="D307" s="116">
        <f>O307/E307</f>
        <v>0.8</v>
      </c>
      <c r="E307" s="117">
        <f>500000*0.55+800000-500000</f>
        <v>575000</v>
      </c>
      <c r="F307" s="116"/>
      <c r="G307" s="117">
        <f t="shared" si="115"/>
        <v>0</v>
      </c>
      <c r="H307" s="116"/>
      <c r="I307" s="117">
        <f>+H307*$E307</f>
        <v>0</v>
      </c>
      <c r="J307" s="116"/>
      <c r="K307" s="117">
        <f t="shared" si="187"/>
        <v>0</v>
      </c>
      <c r="L307" s="116"/>
      <c r="M307" s="117">
        <f t="shared" si="154"/>
        <v>0</v>
      </c>
      <c r="N307" s="116">
        <v>1</v>
      </c>
      <c r="O307" s="117">
        <f>+N307*$E307*0.8</f>
        <v>460000</v>
      </c>
      <c r="P307" s="123">
        <v>1</v>
      </c>
      <c r="Q307" s="117">
        <f>P307*E307*0.8</f>
        <v>460000</v>
      </c>
      <c r="R307" s="116"/>
      <c r="S307" s="117">
        <f t="shared" si="189"/>
        <v>0</v>
      </c>
      <c r="T307" s="116"/>
      <c r="U307" s="117">
        <f t="shared" si="190"/>
        <v>0</v>
      </c>
      <c r="V307" s="116"/>
      <c r="W307" s="117">
        <f t="shared" si="193"/>
        <v>0</v>
      </c>
      <c r="X307" s="116"/>
      <c r="Y307" s="117">
        <f t="shared" si="194"/>
        <v>0</v>
      </c>
      <c r="Z307" s="116"/>
      <c r="AA307" s="117">
        <f t="shared" ref="AA307:AA321" si="195">+Z307*$E307</f>
        <v>0</v>
      </c>
      <c r="AB307" s="116"/>
      <c r="AC307" s="117">
        <f t="shared" si="149"/>
        <v>0</v>
      </c>
      <c r="AD307" s="116"/>
      <c r="AE307" s="117">
        <f t="shared" si="192"/>
        <v>0</v>
      </c>
      <c r="AF307" s="116"/>
      <c r="AG307" s="118">
        <f t="shared" si="163"/>
        <v>0</v>
      </c>
      <c r="AH307" s="224"/>
      <c r="AI307" s="227"/>
      <c r="AJ307" s="227"/>
      <c r="AK307" s="150">
        <f t="shared" si="185"/>
        <v>1</v>
      </c>
      <c r="AL307" s="119">
        <f t="shared" si="185"/>
        <v>460000</v>
      </c>
      <c r="AM307" s="120">
        <f t="shared" si="137"/>
        <v>1</v>
      </c>
      <c r="AN307" s="120">
        <v>1</v>
      </c>
      <c r="AO307" s="164">
        <f t="shared" si="138"/>
        <v>0</v>
      </c>
      <c r="AP307" s="150">
        <v>1</v>
      </c>
      <c r="AQ307" s="119">
        <f>AP307*E307*0.8</f>
        <v>460000</v>
      </c>
      <c r="AR307" s="150">
        <f t="shared" si="136"/>
        <v>0</v>
      </c>
      <c r="AS307" s="165">
        <f t="shared" si="140"/>
        <v>0</v>
      </c>
      <c r="AT307" s="181"/>
      <c r="AU307" s="167">
        <f t="shared" si="141"/>
        <v>0</v>
      </c>
      <c r="AV307" s="121"/>
      <c r="AW307" s="121"/>
      <c r="AX307" s="121"/>
      <c r="AY307" s="121"/>
      <c r="AZ307" s="121"/>
      <c r="BA307" s="121"/>
      <c r="BB307" s="121"/>
      <c r="BC307" s="121"/>
      <c r="BD307" s="121"/>
      <c r="BE307" s="121"/>
      <c r="BF307" s="121"/>
      <c r="BG307" s="121"/>
    </row>
    <row r="308" spans="1:59" s="122" customFormat="1" ht="15" customHeight="1">
      <c r="A308" s="113"/>
      <c r="B308" s="114" t="s">
        <v>231</v>
      </c>
      <c r="C308" s="115"/>
      <c r="D308" s="116">
        <f>AE308/E307</f>
        <v>0.2</v>
      </c>
      <c r="E308" s="117"/>
      <c r="F308" s="116"/>
      <c r="G308" s="117">
        <f t="shared" si="115"/>
        <v>0</v>
      </c>
      <c r="H308" s="116"/>
      <c r="I308" s="117"/>
      <c r="J308" s="116"/>
      <c r="K308" s="117">
        <f t="shared" si="187"/>
        <v>0</v>
      </c>
      <c r="L308" s="116"/>
      <c r="M308" s="117">
        <f t="shared" si="154"/>
        <v>0</v>
      </c>
      <c r="N308" s="116"/>
      <c r="O308" s="117">
        <f t="shared" ref="O308:O317" si="196">+N308*$E308</f>
        <v>0</v>
      </c>
      <c r="P308" s="116"/>
      <c r="Q308" s="117">
        <f t="shared" ref="Q308:Q317" si="197">P308*E308</f>
        <v>0</v>
      </c>
      <c r="R308" s="116"/>
      <c r="S308" s="117">
        <f t="shared" si="189"/>
        <v>0</v>
      </c>
      <c r="T308" s="116"/>
      <c r="U308" s="117">
        <f t="shared" si="190"/>
        <v>0</v>
      </c>
      <c r="V308" s="116"/>
      <c r="W308" s="117">
        <f t="shared" si="193"/>
        <v>0</v>
      </c>
      <c r="X308" s="116"/>
      <c r="Y308" s="117">
        <f t="shared" si="194"/>
        <v>0</v>
      </c>
      <c r="Z308" s="116"/>
      <c r="AA308" s="117">
        <f t="shared" si="195"/>
        <v>0</v>
      </c>
      <c r="AB308" s="116"/>
      <c r="AC308" s="117">
        <f t="shared" si="149"/>
        <v>0</v>
      </c>
      <c r="AD308" s="116">
        <v>1</v>
      </c>
      <c r="AE308" s="117">
        <f>+AD308*E307*0.2</f>
        <v>115000</v>
      </c>
      <c r="AF308" s="116"/>
      <c r="AG308" s="118">
        <f t="shared" si="163"/>
        <v>0</v>
      </c>
      <c r="AH308" s="224"/>
      <c r="AI308" s="227"/>
      <c r="AJ308" s="227"/>
      <c r="AK308" s="150">
        <f t="shared" si="185"/>
        <v>0</v>
      </c>
      <c r="AL308" s="119">
        <f t="shared" si="185"/>
        <v>0</v>
      </c>
      <c r="AM308" s="120">
        <f t="shared" si="137"/>
        <v>0</v>
      </c>
      <c r="AN308" s="120">
        <v>0</v>
      </c>
      <c r="AO308" s="164">
        <f t="shared" si="138"/>
        <v>0</v>
      </c>
      <c r="AP308" s="150">
        <v>0</v>
      </c>
      <c r="AQ308" s="119">
        <f t="shared" si="139"/>
        <v>0</v>
      </c>
      <c r="AR308" s="150">
        <f t="shared" si="136"/>
        <v>0</v>
      </c>
      <c r="AS308" s="165">
        <f t="shared" si="140"/>
        <v>0</v>
      </c>
      <c r="AT308" s="181"/>
      <c r="AU308" s="167">
        <f t="shared" si="141"/>
        <v>0</v>
      </c>
      <c r="AV308" s="121"/>
      <c r="AW308" s="121"/>
      <c r="AX308" s="121"/>
      <c r="AY308" s="121"/>
      <c r="AZ308" s="121"/>
      <c r="BA308" s="121"/>
      <c r="BB308" s="121"/>
      <c r="BC308" s="121"/>
      <c r="BD308" s="121"/>
      <c r="BE308" s="121"/>
      <c r="BF308" s="121"/>
      <c r="BG308" s="121"/>
    </row>
    <row r="309" spans="1:59" s="122" customFormat="1" ht="15" customHeight="1">
      <c r="A309" s="113" t="s">
        <v>232</v>
      </c>
      <c r="B309" s="128" t="s">
        <v>233</v>
      </c>
      <c r="C309" s="129"/>
      <c r="D309" s="130"/>
      <c r="E309" s="117"/>
      <c r="F309" s="116"/>
      <c r="G309" s="117">
        <f t="shared" si="115"/>
        <v>0</v>
      </c>
      <c r="H309" s="116"/>
      <c r="I309" s="117"/>
      <c r="J309" s="116"/>
      <c r="K309" s="117">
        <f t="shared" si="187"/>
        <v>0</v>
      </c>
      <c r="L309" s="116"/>
      <c r="M309" s="117">
        <f t="shared" si="154"/>
        <v>0</v>
      </c>
      <c r="N309" s="116"/>
      <c r="O309" s="117">
        <f t="shared" si="196"/>
        <v>0</v>
      </c>
      <c r="P309" s="116"/>
      <c r="Q309" s="117">
        <f t="shared" si="197"/>
        <v>0</v>
      </c>
      <c r="R309" s="116"/>
      <c r="S309" s="117">
        <f t="shared" si="189"/>
        <v>0</v>
      </c>
      <c r="T309" s="116"/>
      <c r="U309" s="117">
        <f t="shared" si="190"/>
        <v>0</v>
      </c>
      <c r="V309" s="116"/>
      <c r="W309" s="117">
        <f t="shared" si="193"/>
        <v>0</v>
      </c>
      <c r="X309" s="116"/>
      <c r="Y309" s="117">
        <f t="shared" si="194"/>
        <v>0</v>
      </c>
      <c r="Z309" s="116"/>
      <c r="AA309" s="117">
        <f t="shared" si="195"/>
        <v>0</v>
      </c>
      <c r="AB309" s="116"/>
      <c r="AC309" s="117">
        <f t="shared" si="149"/>
        <v>0</v>
      </c>
      <c r="AD309" s="116"/>
      <c r="AE309" s="117">
        <f>+AD309*E309</f>
        <v>0</v>
      </c>
      <c r="AF309" s="116"/>
      <c r="AG309" s="118">
        <f t="shared" si="163"/>
        <v>0</v>
      </c>
      <c r="AH309" s="224"/>
      <c r="AI309" s="227"/>
      <c r="AJ309" s="227"/>
      <c r="AK309" s="150">
        <f t="shared" si="185"/>
        <v>0</v>
      </c>
      <c r="AL309" s="119">
        <f t="shared" si="185"/>
        <v>0</v>
      </c>
      <c r="AM309" s="120">
        <f t="shared" si="137"/>
        <v>0</v>
      </c>
      <c r="AN309" s="120">
        <v>0</v>
      </c>
      <c r="AO309" s="164">
        <f t="shared" si="138"/>
        <v>0</v>
      </c>
      <c r="AP309" s="150">
        <v>0</v>
      </c>
      <c r="AQ309" s="119">
        <f t="shared" si="139"/>
        <v>0</v>
      </c>
      <c r="AR309" s="150">
        <f t="shared" si="136"/>
        <v>0</v>
      </c>
      <c r="AS309" s="165">
        <f t="shared" si="140"/>
        <v>0</v>
      </c>
      <c r="AT309" s="181"/>
      <c r="AU309" s="167">
        <f t="shared" si="141"/>
        <v>0</v>
      </c>
      <c r="AV309" s="121"/>
      <c r="AW309" s="121"/>
      <c r="AX309" s="121"/>
      <c r="AY309" s="121"/>
      <c r="AZ309" s="121"/>
      <c r="BA309" s="121"/>
      <c r="BB309" s="121"/>
      <c r="BC309" s="121"/>
      <c r="BD309" s="121"/>
      <c r="BE309" s="121"/>
      <c r="BF309" s="121"/>
      <c r="BG309" s="121"/>
    </row>
    <row r="310" spans="1:59" s="177" customFormat="1" ht="14.25" customHeight="1">
      <c r="A310" s="168"/>
      <c r="B310" s="169" t="s">
        <v>234</v>
      </c>
      <c r="C310" s="178"/>
      <c r="D310" s="179">
        <f>AE310/E310</f>
        <v>0</v>
      </c>
      <c r="E310" s="172">
        <f>2900000*0.55</f>
        <v>1595000.0000000002</v>
      </c>
      <c r="F310" s="171"/>
      <c r="G310" s="172">
        <f t="shared" si="115"/>
        <v>0</v>
      </c>
      <c r="H310" s="171"/>
      <c r="I310" s="172">
        <f>+H310*$E310</f>
        <v>0</v>
      </c>
      <c r="J310" s="171"/>
      <c r="K310" s="172">
        <f>+J310*$E310*0.8</f>
        <v>0</v>
      </c>
      <c r="L310" s="171"/>
      <c r="M310" s="172">
        <f>L310*E310*0.8</f>
        <v>0</v>
      </c>
      <c r="N310" s="171"/>
      <c r="O310" s="172">
        <f t="shared" si="196"/>
        <v>0</v>
      </c>
      <c r="P310" s="171"/>
      <c r="Q310" s="172">
        <f t="shared" si="197"/>
        <v>0</v>
      </c>
      <c r="R310" s="171">
        <v>1</v>
      </c>
      <c r="S310" s="172">
        <f>+R310*$E310*0.8</f>
        <v>1276000.0000000002</v>
      </c>
      <c r="T310" s="180">
        <v>0.9</v>
      </c>
      <c r="U310" s="172">
        <f>T310*E310*0.8</f>
        <v>1148400.0000000002</v>
      </c>
      <c r="V310" s="171"/>
      <c r="W310" s="172">
        <f t="shared" si="193"/>
        <v>0</v>
      </c>
      <c r="X310" s="171"/>
      <c r="Y310" s="172">
        <f t="shared" si="194"/>
        <v>0</v>
      </c>
      <c r="Z310" s="171"/>
      <c r="AA310" s="172">
        <f t="shared" si="195"/>
        <v>0</v>
      </c>
      <c r="AB310" s="171"/>
      <c r="AC310" s="172">
        <f t="shared" si="149"/>
        <v>0</v>
      </c>
      <c r="AD310" s="171"/>
      <c r="AE310" s="172">
        <f>+AD310*E310*0.8</f>
        <v>0</v>
      </c>
      <c r="AF310" s="171"/>
      <c r="AG310" s="173">
        <f t="shared" si="163"/>
        <v>0</v>
      </c>
      <c r="AH310" s="224"/>
      <c r="AI310" s="227"/>
      <c r="AJ310" s="227"/>
      <c r="AK310" s="174">
        <f t="shared" si="185"/>
        <v>0.9</v>
      </c>
      <c r="AL310" s="175">
        <f t="shared" si="185"/>
        <v>1148400.0000000002</v>
      </c>
      <c r="AM310" s="176">
        <f t="shared" si="137"/>
        <v>0.9</v>
      </c>
      <c r="AN310" s="176">
        <v>0.9</v>
      </c>
      <c r="AO310" s="196">
        <f t="shared" si="138"/>
        <v>0</v>
      </c>
      <c r="AP310" s="174">
        <v>0.9</v>
      </c>
      <c r="AQ310" s="175">
        <f>AP310*E310*0.8</f>
        <v>1148400.0000000002</v>
      </c>
      <c r="AR310" s="174">
        <f t="shared" si="136"/>
        <v>0</v>
      </c>
      <c r="AS310" s="197">
        <f t="shared" si="140"/>
        <v>0</v>
      </c>
      <c r="AT310" s="166">
        <f>100%-AK310</f>
        <v>9.9999999999999978E-2</v>
      </c>
      <c r="AU310" s="198">
        <f>AT310*E310*0.8</f>
        <v>127600</v>
      </c>
      <c r="AV310" s="124"/>
      <c r="AW310" s="124"/>
      <c r="AX310" s="124"/>
      <c r="AY310" s="124"/>
      <c r="AZ310" s="124"/>
      <c r="BA310" s="124"/>
      <c r="BB310" s="124"/>
      <c r="BC310" s="124"/>
      <c r="BD310" s="124"/>
      <c r="BE310" s="124"/>
      <c r="BF310" s="124"/>
      <c r="BG310" s="124"/>
    </row>
    <row r="311" spans="1:59" s="122" customFormat="1" ht="14.25" customHeight="1">
      <c r="A311" s="113"/>
      <c r="B311" s="114" t="s">
        <v>235</v>
      </c>
      <c r="C311" s="131"/>
      <c r="D311" s="132">
        <f>AE311/E310</f>
        <v>0.2</v>
      </c>
      <c r="E311" s="117"/>
      <c r="F311" s="116"/>
      <c r="G311" s="117">
        <f t="shared" si="115"/>
        <v>0</v>
      </c>
      <c r="H311" s="116"/>
      <c r="I311" s="117"/>
      <c r="J311" s="116"/>
      <c r="K311" s="117">
        <f t="shared" ref="K311:K317" si="198">+J311*$E311</f>
        <v>0</v>
      </c>
      <c r="L311" s="116"/>
      <c r="M311" s="117">
        <f t="shared" ref="M311:M317" si="199">L311*E311</f>
        <v>0</v>
      </c>
      <c r="N311" s="116"/>
      <c r="O311" s="117">
        <f t="shared" si="196"/>
        <v>0</v>
      </c>
      <c r="P311" s="116"/>
      <c r="Q311" s="117">
        <f t="shared" si="197"/>
        <v>0</v>
      </c>
      <c r="R311" s="116"/>
      <c r="S311" s="117">
        <f>+R311*$E311</f>
        <v>0</v>
      </c>
      <c r="T311" s="116"/>
      <c r="U311" s="117">
        <f t="shared" ref="U311:U333" si="200">T311*E311</f>
        <v>0</v>
      </c>
      <c r="V311" s="116"/>
      <c r="W311" s="117">
        <f t="shared" si="193"/>
        <v>0</v>
      </c>
      <c r="X311" s="116"/>
      <c r="Y311" s="117">
        <f t="shared" si="194"/>
        <v>0</v>
      </c>
      <c r="Z311" s="116"/>
      <c r="AA311" s="117">
        <f t="shared" si="195"/>
        <v>0</v>
      </c>
      <c r="AB311" s="116"/>
      <c r="AC311" s="117">
        <f t="shared" si="149"/>
        <v>0</v>
      </c>
      <c r="AD311" s="116">
        <v>1</v>
      </c>
      <c r="AE311" s="117">
        <f>+AD311*E310*0.2</f>
        <v>319000.00000000006</v>
      </c>
      <c r="AF311" s="116"/>
      <c r="AG311" s="118">
        <f t="shared" si="163"/>
        <v>0</v>
      </c>
      <c r="AH311" s="224"/>
      <c r="AI311" s="227"/>
      <c r="AJ311" s="227"/>
      <c r="AK311" s="150">
        <f t="shared" si="185"/>
        <v>0</v>
      </c>
      <c r="AL311" s="119">
        <f t="shared" si="185"/>
        <v>0</v>
      </c>
      <c r="AM311" s="120">
        <f t="shared" si="137"/>
        <v>0</v>
      </c>
      <c r="AN311" s="120">
        <v>0</v>
      </c>
      <c r="AO311" s="164">
        <f t="shared" si="138"/>
        <v>0</v>
      </c>
      <c r="AP311" s="150">
        <v>0</v>
      </c>
      <c r="AQ311" s="119">
        <f t="shared" si="139"/>
        <v>0</v>
      </c>
      <c r="AR311" s="150">
        <f t="shared" si="136"/>
        <v>0</v>
      </c>
      <c r="AS311" s="165">
        <f t="shared" si="140"/>
        <v>0</v>
      </c>
      <c r="AT311" s="181"/>
      <c r="AU311" s="167">
        <f t="shared" si="141"/>
        <v>0</v>
      </c>
      <c r="AV311" s="121"/>
      <c r="AW311" s="121"/>
      <c r="AX311" s="121"/>
      <c r="AY311" s="121"/>
      <c r="AZ311" s="121"/>
      <c r="BA311" s="121"/>
      <c r="BB311" s="121"/>
      <c r="BC311" s="121"/>
      <c r="BD311" s="121"/>
      <c r="BE311" s="121"/>
      <c r="BF311" s="121"/>
      <c r="BG311" s="121"/>
    </row>
    <row r="312" spans="1:59" s="177" customFormat="1" ht="15" customHeight="1">
      <c r="A312" s="168"/>
      <c r="B312" s="169" t="s">
        <v>236</v>
      </c>
      <c r="C312" s="170"/>
      <c r="D312" s="171">
        <f>AE312/E312</f>
        <v>0</v>
      </c>
      <c r="E312" s="172">
        <f>500000*0.55</f>
        <v>275000</v>
      </c>
      <c r="F312" s="171"/>
      <c r="G312" s="172">
        <f t="shared" si="115"/>
        <v>0</v>
      </c>
      <c r="H312" s="171"/>
      <c r="I312" s="172"/>
      <c r="J312" s="171"/>
      <c r="K312" s="172">
        <f t="shared" si="198"/>
        <v>0</v>
      </c>
      <c r="L312" s="171"/>
      <c r="M312" s="172">
        <f t="shared" si="199"/>
        <v>0</v>
      </c>
      <c r="N312" s="171"/>
      <c r="O312" s="172">
        <f t="shared" si="196"/>
        <v>0</v>
      </c>
      <c r="P312" s="171"/>
      <c r="Q312" s="172">
        <f t="shared" si="197"/>
        <v>0</v>
      </c>
      <c r="R312" s="171"/>
      <c r="S312" s="172">
        <f>+R312*$E312*0.8</f>
        <v>0</v>
      </c>
      <c r="T312" s="171"/>
      <c r="U312" s="172">
        <f t="shared" si="200"/>
        <v>0</v>
      </c>
      <c r="V312" s="171">
        <v>1</v>
      </c>
      <c r="W312" s="172">
        <f>+V312*E312*0.8</f>
        <v>220000</v>
      </c>
      <c r="X312" s="171"/>
      <c r="Y312" s="172">
        <f t="shared" si="194"/>
        <v>0</v>
      </c>
      <c r="Z312" s="171"/>
      <c r="AA312" s="172">
        <f t="shared" si="195"/>
        <v>0</v>
      </c>
      <c r="AB312" s="171"/>
      <c r="AC312" s="172">
        <f t="shared" si="149"/>
        <v>0</v>
      </c>
      <c r="AD312" s="171"/>
      <c r="AE312" s="172">
        <f>+AD312*E312*0.8</f>
        <v>0</v>
      </c>
      <c r="AF312" s="171"/>
      <c r="AG312" s="173">
        <f t="shared" si="163"/>
        <v>0</v>
      </c>
      <c r="AH312" s="224"/>
      <c r="AI312" s="227"/>
      <c r="AJ312" s="227"/>
      <c r="AK312" s="174">
        <f t="shared" ref="AK312:AL327" si="201">F312+H312+L312+P312+T312+X312+AB312+AF312</f>
        <v>0</v>
      </c>
      <c r="AL312" s="175">
        <f t="shared" si="201"/>
        <v>0</v>
      </c>
      <c r="AM312" s="176">
        <f t="shared" si="137"/>
        <v>0</v>
      </c>
      <c r="AN312" s="176">
        <v>0</v>
      </c>
      <c r="AO312" s="196">
        <f t="shared" si="138"/>
        <v>0</v>
      </c>
      <c r="AP312" s="174">
        <v>0</v>
      </c>
      <c r="AQ312" s="175">
        <f t="shared" si="139"/>
        <v>0</v>
      </c>
      <c r="AR312" s="174">
        <f t="shared" si="136"/>
        <v>0</v>
      </c>
      <c r="AS312" s="197">
        <f t="shared" si="140"/>
        <v>0</v>
      </c>
      <c r="AT312" s="166"/>
      <c r="AU312" s="198">
        <f t="shared" si="141"/>
        <v>0</v>
      </c>
      <c r="AV312" s="124"/>
      <c r="AW312" s="124"/>
      <c r="AX312" s="124"/>
      <c r="AY312" s="124"/>
      <c r="AZ312" s="124"/>
      <c r="BA312" s="124"/>
      <c r="BB312" s="124"/>
      <c r="BC312" s="124"/>
      <c r="BD312" s="124"/>
      <c r="BE312" s="124"/>
      <c r="BF312" s="124"/>
      <c r="BG312" s="124"/>
    </row>
    <row r="313" spans="1:59" s="122" customFormat="1" ht="15" customHeight="1">
      <c r="A313" s="113"/>
      <c r="B313" s="114" t="s">
        <v>237</v>
      </c>
      <c r="C313" s="115"/>
      <c r="D313" s="116">
        <f>AE313/E312</f>
        <v>0.2</v>
      </c>
      <c r="E313" s="117"/>
      <c r="F313" s="116"/>
      <c r="G313" s="117">
        <f t="shared" si="115"/>
        <v>0</v>
      </c>
      <c r="H313" s="116"/>
      <c r="I313" s="117"/>
      <c r="J313" s="116"/>
      <c r="K313" s="117">
        <f t="shared" si="198"/>
        <v>0</v>
      </c>
      <c r="L313" s="116"/>
      <c r="M313" s="117">
        <f t="shared" si="199"/>
        <v>0</v>
      </c>
      <c r="N313" s="116"/>
      <c r="O313" s="117">
        <f t="shared" si="196"/>
        <v>0</v>
      </c>
      <c r="P313" s="116"/>
      <c r="Q313" s="117">
        <f t="shared" si="197"/>
        <v>0</v>
      </c>
      <c r="R313" s="116"/>
      <c r="S313" s="117">
        <f>+R313*$E313</f>
        <v>0</v>
      </c>
      <c r="T313" s="116"/>
      <c r="U313" s="117">
        <f t="shared" si="200"/>
        <v>0</v>
      </c>
      <c r="V313" s="116"/>
      <c r="W313" s="117">
        <f>+V313*E313</f>
        <v>0</v>
      </c>
      <c r="X313" s="116"/>
      <c r="Y313" s="117">
        <f t="shared" si="194"/>
        <v>0</v>
      </c>
      <c r="Z313" s="116"/>
      <c r="AA313" s="117">
        <f t="shared" si="195"/>
        <v>0</v>
      </c>
      <c r="AB313" s="116"/>
      <c r="AC313" s="117">
        <f t="shared" si="149"/>
        <v>0</v>
      </c>
      <c r="AD313" s="116">
        <v>1</v>
      </c>
      <c r="AE313" s="117">
        <f>+AD313*E312*0.2</f>
        <v>55000</v>
      </c>
      <c r="AF313" s="116"/>
      <c r="AG313" s="118">
        <f t="shared" si="163"/>
        <v>0</v>
      </c>
      <c r="AH313" s="224"/>
      <c r="AI313" s="227"/>
      <c r="AJ313" s="227"/>
      <c r="AK313" s="150">
        <f t="shared" si="201"/>
        <v>0</v>
      </c>
      <c r="AL313" s="119">
        <f t="shared" si="201"/>
        <v>0</v>
      </c>
      <c r="AM313" s="120">
        <f t="shared" si="137"/>
        <v>0</v>
      </c>
      <c r="AN313" s="120">
        <v>0</v>
      </c>
      <c r="AO313" s="164">
        <f t="shared" si="138"/>
        <v>0</v>
      </c>
      <c r="AP313" s="150">
        <v>0</v>
      </c>
      <c r="AQ313" s="119">
        <f t="shared" si="139"/>
        <v>0</v>
      </c>
      <c r="AR313" s="150">
        <f t="shared" si="136"/>
        <v>0</v>
      </c>
      <c r="AS313" s="165">
        <f t="shared" si="140"/>
        <v>0</v>
      </c>
      <c r="AT313" s="181"/>
      <c r="AU313" s="167">
        <f t="shared" si="141"/>
        <v>0</v>
      </c>
      <c r="AV313" s="121"/>
      <c r="AW313" s="121"/>
      <c r="AX313" s="121"/>
      <c r="AY313" s="121"/>
      <c r="AZ313" s="121"/>
      <c r="BA313" s="121"/>
      <c r="BB313" s="121"/>
      <c r="BC313" s="121"/>
      <c r="BD313" s="121"/>
      <c r="BE313" s="121"/>
      <c r="BF313" s="121"/>
      <c r="BG313" s="121"/>
    </row>
    <row r="314" spans="1:59" s="122" customFormat="1" ht="15" customHeight="1">
      <c r="A314" s="113"/>
      <c r="B314" s="114" t="s">
        <v>238</v>
      </c>
      <c r="C314" s="115"/>
      <c r="D314" s="116">
        <f>W314/E314</f>
        <v>0.8</v>
      </c>
      <c r="E314" s="117">
        <f>700000*0.55</f>
        <v>385000.00000000006</v>
      </c>
      <c r="F314" s="116"/>
      <c r="G314" s="117">
        <f t="shared" si="115"/>
        <v>0</v>
      </c>
      <c r="H314" s="116"/>
      <c r="I314" s="117"/>
      <c r="J314" s="116"/>
      <c r="K314" s="117">
        <f t="shared" si="198"/>
        <v>0</v>
      </c>
      <c r="L314" s="116"/>
      <c r="M314" s="117">
        <f t="shared" si="199"/>
        <v>0</v>
      </c>
      <c r="N314" s="116"/>
      <c r="O314" s="117">
        <f t="shared" si="196"/>
        <v>0</v>
      </c>
      <c r="P314" s="116"/>
      <c r="Q314" s="117">
        <f t="shared" si="197"/>
        <v>0</v>
      </c>
      <c r="R314" s="116"/>
      <c r="S314" s="117">
        <f>+R314*$E314*0.8</f>
        <v>0</v>
      </c>
      <c r="T314" s="116"/>
      <c r="U314" s="117">
        <f t="shared" si="200"/>
        <v>0</v>
      </c>
      <c r="V314" s="116">
        <v>1</v>
      </c>
      <c r="W314" s="117">
        <f>+V314*$E314*0.8</f>
        <v>308000.00000000006</v>
      </c>
      <c r="X314" s="123">
        <v>1</v>
      </c>
      <c r="Y314" s="117">
        <f>X314*E314*0.8</f>
        <v>308000.00000000006</v>
      </c>
      <c r="Z314" s="116"/>
      <c r="AA314" s="117">
        <f t="shared" si="195"/>
        <v>0</v>
      </c>
      <c r="AB314" s="116"/>
      <c r="AC314" s="117">
        <f t="shared" si="149"/>
        <v>0</v>
      </c>
      <c r="AD314" s="116"/>
      <c r="AE314" s="117">
        <f>+AD314*E314</f>
        <v>0</v>
      </c>
      <c r="AF314" s="116"/>
      <c r="AG314" s="118">
        <f t="shared" si="163"/>
        <v>0</v>
      </c>
      <c r="AH314" s="224"/>
      <c r="AI314" s="227"/>
      <c r="AJ314" s="227"/>
      <c r="AK314" s="150">
        <f t="shared" si="201"/>
        <v>1</v>
      </c>
      <c r="AL314" s="119">
        <f t="shared" si="201"/>
        <v>308000.00000000006</v>
      </c>
      <c r="AM314" s="120">
        <f t="shared" si="137"/>
        <v>1</v>
      </c>
      <c r="AN314" s="120">
        <v>1</v>
      </c>
      <c r="AO314" s="164">
        <f t="shared" si="138"/>
        <v>0</v>
      </c>
      <c r="AP314" s="150">
        <v>1</v>
      </c>
      <c r="AQ314" s="119">
        <f>AP314*E314*0.8</f>
        <v>308000.00000000006</v>
      </c>
      <c r="AR314" s="150">
        <f t="shared" si="136"/>
        <v>0</v>
      </c>
      <c r="AS314" s="165">
        <f t="shared" si="140"/>
        <v>0</v>
      </c>
      <c r="AT314" s="181"/>
      <c r="AU314" s="167">
        <f t="shared" si="141"/>
        <v>0</v>
      </c>
      <c r="AV314" s="121"/>
      <c r="AW314" s="121"/>
      <c r="AX314" s="121"/>
      <c r="AY314" s="121"/>
      <c r="AZ314" s="121"/>
      <c r="BA314" s="121"/>
      <c r="BB314" s="121"/>
      <c r="BC314" s="121"/>
      <c r="BD314" s="121"/>
      <c r="BE314" s="121"/>
      <c r="BF314" s="121"/>
      <c r="BG314" s="121"/>
    </row>
    <row r="315" spans="1:59" s="122" customFormat="1" ht="15" customHeight="1">
      <c r="A315" s="113"/>
      <c r="B315" s="114" t="s">
        <v>239</v>
      </c>
      <c r="C315" s="115"/>
      <c r="D315" s="116">
        <f>AE315/E314</f>
        <v>0.2</v>
      </c>
      <c r="E315" s="117"/>
      <c r="F315" s="116"/>
      <c r="G315" s="117">
        <f t="shared" si="115"/>
        <v>0</v>
      </c>
      <c r="H315" s="116"/>
      <c r="I315" s="117"/>
      <c r="J315" s="116"/>
      <c r="K315" s="117">
        <f t="shared" si="198"/>
        <v>0</v>
      </c>
      <c r="L315" s="116"/>
      <c r="M315" s="117">
        <f t="shared" si="199"/>
        <v>0</v>
      </c>
      <c r="N315" s="116"/>
      <c r="O315" s="117">
        <f t="shared" si="196"/>
        <v>0</v>
      </c>
      <c r="P315" s="116"/>
      <c r="Q315" s="117">
        <f t="shared" si="197"/>
        <v>0</v>
      </c>
      <c r="R315" s="116"/>
      <c r="S315" s="117">
        <f t="shared" ref="S315:S316" si="202">+R315*$E315</f>
        <v>0</v>
      </c>
      <c r="T315" s="116"/>
      <c r="U315" s="117">
        <f t="shared" si="200"/>
        <v>0</v>
      </c>
      <c r="V315" s="116"/>
      <c r="W315" s="117">
        <f t="shared" ref="W315:W323" si="203">+V315*E315</f>
        <v>0</v>
      </c>
      <c r="X315" s="116"/>
      <c r="Y315" s="117">
        <f t="shared" si="194"/>
        <v>0</v>
      </c>
      <c r="Z315" s="116"/>
      <c r="AA315" s="117">
        <f t="shared" si="195"/>
        <v>0</v>
      </c>
      <c r="AB315" s="116"/>
      <c r="AC315" s="117">
        <f t="shared" si="149"/>
        <v>0</v>
      </c>
      <c r="AD315" s="116">
        <v>1</v>
      </c>
      <c r="AE315" s="117">
        <f>+AD315*E314*0.2</f>
        <v>77000.000000000015</v>
      </c>
      <c r="AF315" s="116"/>
      <c r="AG315" s="118">
        <f t="shared" si="163"/>
        <v>0</v>
      </c>
      <c r="AH315" s="224"/>
      <c r="AI315" s="227"/>
      <c r="AJ315" s="227"/>
      <c r="AK315" s="150">
        <f t="shared" si="201"/>
        <v>0</v>
      </c>
      <c r="AL315" s="119">
        <f t="shared" si="201"/>
        <v>0</v>
      </c>
      <c r="AM315" s="120">
        <f t="shared" si="137"/>
        <v>0</v>
      </c>
      <c r="AN315" s="120">
        <v>0</v>
      </c>
      <c r="AO315" s="164">
        <f t="shared" si="138"/>
        <v>0</v>
      </c>
      <c r="AP315" s="150">
        <v>0</v>
      </c>
      <c r="AQ315" s="119">
        <f t="shared" si="139"/>
        <v>0</v>
      </c>
      <c r="AR315" s="150">
        <f t="shared" si="136"/>
        <v>0</v>
      </c>
      <c r="AS315" s="165">
        <f t="shared" si="140"/>
        <v>0</v>
      </c>
      <c r="AT315" s="181"/>
      <c r="AU315" s="167">
        <f t="shared" si="141"/>
        <v>0</v>
      </c>
      <c r="AV315" s="121"/>
      <c r="AW315" s="121"/>
      <c r="AX315" s="121"/>
      <c r="AY315" s="121"/>
      <c r="AZ315" s="121"/>
      <c r="BA315" s="121"/>
      <c r="BB315" s="121"/>
      <c r="BC315" s="121"/>
      <c r="BD315" s="121"/>
      <c r="BE315" s="121"/>
      <c r="BF315" s="121"/>
      <c r="BG315" s="121"/>
    </row>
    <row r="316" spans="1:59" s="122" customFormat="1" ht="15" customHeight="1">
      <c r="A316" s="113" t="s">
        <v>240</v>
      </c>
      <c r="B316" s="128" t="s">
        <v>241</v>
      </c>
      <c r="C316" s="129"/>
      <c r="D316" s="130"/>
      <c r="E316" s="117"/>
      <c r="F316" s="116"/>
      <c r="G316" s="117">
        <f t="shared" si="115"/>
        <v>0</v>
      </c>
      <c r="H316" s="116"/>
      <c r="I316" s="117"/>
      <c r="J316" s="116"/>
      <c r="K316" s="117">
        <f t="shared" si="198"/>
        <v>0</v>
      </c>
      <c r="L316" s="116"/>
      <c r="M316" s="117">
        <f t="shared" si="199"/>
        <v>0</v>
      </c>
      <c r="N316" s="116"/>
      <c r="O316" s="117">
        <f t="shared" si="196"/>
        <v>0</v>
      </c>
      <c r="P316" s="116"/>
      <c r="Q316" s="117">
        <f t="shared" si="197"/>
        <v>0</v>
      </c>
      <c r="R316" s="116"/>
      <c r="S316" s="117">
        <f t="shared" si="202"/>
        <v>0</v>
      </c>
      <c r="T316" s="116"/>
      <c r="U316" s="117">
        <f t="shared" si="200"/>
        <v>0</v>
      </c>
      <c r="V316" s="116"/>
      <c r="W316" s="117">
        <f t="shared" si="203"/>
        <v>0</v>
      </c>
      <c r="X316" s="116"/>
      <c r="Y316" s="117">
        <f t="shared" si="194"/>
        <v>0</v>
      </c>
      <c r="Z316" s="116"/>
      <c r="AA316" s="117">
        <f t="shared" si="195"/>
        <v>0</v>
      </c>
      <c r="AB316" s="116"/>
      <c r="AC316" s="117">
        <f t="shared" si="149"/>
        <v>0</v>
      </c>
      <c r="AD316" s="116"/>
      <c r="AE316" s="117">
        <f t="shared" ref="AE316:AE318" si="204">+AD316*E316</f>
        <v>0</v>
      </c>
      <c r="AF316" s="116"/>
      <c r="AG316" s="118">
        <f t="shared" si="163"/>
        <v>0</v>
      </c>
      <c r="AH316" s="224"/>
      <c r="AI316" s="227"/>
      <c r="AJ316" s="227"/>
      <c r="AK316" s="150">
        <f t="shared" si="201"/>
        <v>0</v>
      </c>
      <c r="AL316" s="119">
        <f t="shared" si="201"/>
        <v>0</v>
      </c>
      <c r="AM316" s="120">
        <f t="shared" si="137"/>
        <v>0</v>
      </c>
      <c r="AN316" s="120">
        <v>0</v>
      </c>
      <c r="AO316" s="164">
        <f t="shared" si="138"/>
        <v>0</v>
      </c>
      <c r="AP316" s="150">
        <v>0</v>
      </c>
      <c r="AQ316" s="119">
        <f t="shared" si="139"/>
        <v>0</v>
      </c>
      <c r="AR316" s="150">
        <f t="shared" si="136"/>
        <v>0</v>
      </c>
      <c r="AS316" s="165">
        <f t="shared" si="140"/>
        <v>0</v>
      </c>
      <c r="AT316" s="181"/>
      <c r="AU316" s="167">
        <f t="shared" si="141"/>
        <v>0</v>
      </c>
      <c r="AV316" s="121"/>
      <c r="AW316" s="121"/>
      <c r="AX316" s="121"/>
      <c r="AY316" s="121"/>
      <c r="AZ316" s="121"/>
      <c r="BA316" s="121"/>
      <c r="BB316" s="121"/>
      <c r="BC316" s="121"/>
      <c r="BD316" s="121"/>
      <c r="BE316" s="121"/>
      <c r="BF316" s="121"/>
      <c r="BG316" s="121"/>
    </row>
    <row r="317" spans="1:59" s="177" customFormat="1" ht="15" customHeight="1">
      <c r="A317" s="168"/>
      <c r="B317" s="169" t="s">
        <v>242</v>
      </c>
      <c r="C317" s="170"/>
      <c r="D317" s="171">
        <f t="shared" ref="D317:D318" si="205">K317/E317</f>
        <v>0</v>
      </c>
      <c r="E317" s="172">
        <f t="shared" ref="E317:E318" si="206">5665000/2</f>
        <v>2832500</v>
      </c>
      <c r="F317" s="171"/>
      <c r="G317" s="172">
        <f t="shared" si="115"/>
        <v>0</v>
      </c>
      <c r="H317" s="171"/>
      <c r="I317" s="172"/>
      <c r="J317" s="171"/>
      <c r="K317" s="172">
        <f t="shared" si="198"/>
        <v>0</v>
      </c>
      <c r="L317" s="171"/>
      <c r="M317" s="172">
        <f t="shared" si="199"/>
        <v>0</v>
      </c>
      <c r="N317" s="171"/>
      <c r="O317" s="172">
        <f t="shared" si="196"/>
        <v>0</v>
      </c>
      <c r="P317" s="171"/>
      <c r="Q317" s="172">
        <f t="shared" si="197"/>
        <v>0</v>
      </c>
      <c r="R317" s="171">
        <v>1</v>
      </c>
      <c r="S317" s="172">
        <f t="shared" ref="S317:S318" si="207">+R317*$E317*0.8</f>
        <v>2266000</v>
      </c>
      <c r="T317" s="171"/>
      <c r="U317" s="172">
        <f t="shared" si="200"/>
        <v>0</v>
      </c>
      <c r="V317" s="171"/>
      <c r="W317" s="172">
        <f t="shared" si="203"/>
        <v>0</v>
      </c>
      <c r="X317" s="171"/>
      <c r="Y317" s="172">
        <f t="shared" si="194"/>
        <v>0</v>
      </c>
      <c r="Z317" s="171"/>
      <c r="AA317" s="172">
        <f t="shared" si="195"/>
        <v>0</v>
      </c>
      <c r="AB317" s="171"/>
      <c r="AC317" s="172">
        <f t="shared" si="149"/>
        <v>0</v>
      </c>
      <c r="AD317" s="171"/>
      <c r="AE317" s="172">
        <f t="shared" si="204"/>
        <v>0</v>
      </c>
      <c r="AF317" s="171"/>
      <c r="AG317" s="173">
        <f t="shared" si="163"/>
        <v>0</v>
      </c>
      <c r="AH317" s="224"/>
      <c r="AI317" s="227"/>
      <c r="AJ317" s="227"/>
      <c r="AK317" s="174">
        <f t="shared" si="201"/>
        <v>0</v>
      </c>
      <c r="AL317" s="175">
        <f t="shared" si="201"/>
        <v>0</v>
      </c>
      <c r="AM317" s="176">
        <f t="shared" si="137"/>
        <v>0</v>
      </c>
      <c r="AN317" s="176">
        <v>0</v>
      </c>
      <c r="AO317" s="196">
        <f t="shared" si="138"/>
        <v>0</v>
      </c>
      <c r="AP317" s="174">
        <v>0</v>
      </c>
      <c r="AQ317" s="175">
        <f t="shared" si="139"/>
        <v>0</v>
      </c>
      <c r="AR317" s="174">
        <f t="shared" si="136"/>
        <v>0</v>
      </c>
      <c r="AS317" s="197">
        <f t="shared" si="140"/>
        <v>0</v>
      </c>
      <c r="AT317" s="166">
        <f>100%-AK317</f>
        <v>1</v>
      </c>
      <c r="AU317" s="198">
        <f>AT317*E317*0.8</f>
        <v>2266000</v>
      </c>
      <c r="AV317" s="124"/>
      <c r="AW317" s="124"/>
      <c r="AX317" s="124"/>
      <c r="AY317" s="124"/>
      <c r="AZ317" s="124"/>
      <c r="BA317" s="124"/>
      <c r="BB317" s="124"/>
      <c r="BC317" s="124"/>
      <c r="BD317" s="124"/>
      <c r="BE317" s="124"/>
      <c r="BF317" s="124"/>
      <c r="BG317" s="124"/>
    </row>
    <row r="318" spans="1:59" s="122" customFormat="1" ht="15" customHeight="1">
      <c r="A318" s="113"/>
      <c r="B318" s="114" t="s">
        <v>243</v>
      </c>
      <c r="C318" s="115"/>
      <c r="D318" s="116">
        <f t="shared" si="205"/>
        <v>0.65987165754633714</v>
      </c>
      <c r="E318" s="117">
        <f t="shared" si="206"/>
        <v>2832500</v>
      </c>
      <c r="F318" s="116"/>
      <c r="G318" s="117">
        <f t="shared" si="115"/>
        <v>0</v>
      </c>
      <c r="H318" s="116"/>
      <c r="I318" s="117"/>
      <c r="J318" s="116">
        <v>0.82499999999999996</v>
      </c>
      <c r="K318" s="117">
        <f>+J318*$E318*0.8-363.53</f>
        <v>1869086.47</v>
      </c>
      <c r="L318" s="116">
        <v>0.82499999999999996</v>
      </c>
      <c r="M318" s="117">
        <f>L318*E318*0.8-363.53</f>
        <v>1869086.47</v>
      </c>
      <c r="N318" s="116">
        <f>100%-J318</f>
        <v>0.17500000000000004</v>
      </c>
      <c r="O318" s="117">
        <f>+N318*$E318*0.8+363.53</f>
        <v>396913.53000000014</v>
      </c>
      <c r="P318" s="116">
        <f>N318</f>
        <v>0.17500000000000004</v>
      </c>
      <c r="Q318" s="117">
        <f>P318*E318*0.8</f>
        <v>396550.00000000012</v>
      </c>
      <c r="R318" s="116"/>
      <c r="S318" s="117">
        <f t="shared" si="207"/>
        <v>0</v>
      </c>
      <c r="T318" s="116"/>
      <c r="U318" s="117">
        <f t="shared" si="200"/>
        <v>0</v>
      </c>
      <c r="V318" s="116"/>
      <c r="W318" s="117">
        <f t="shared" si="203"/>
        <v>0</v>
      </c>
      <c r="X318" s="116"/>
      <c r="Y318" s="117">
        <f t="shared" si="194"/>
        <v>0</v>
      </c>
      <c r="Z318" s="116"/>
      <c r="AA318" s="117">
        <f t="shared" si="195"/>
        <v>0</v>
      </c>
      <c r="AB318" s="116"/>
      <c r="AC318" s="117">
        <f t="shared" si="149"/>
        <v>0</v>
      </c>
      <c r="AD318" s="116"/>
      <c r="AE318" s="117">
        <f t="shared" si="204"/>
        <v>0</v>
      </c>
      <c r="AF318" s="116"/>
      <c r="AG318" s="118">
        <f t="shared" si="163"/>
        <v>0</v>
      </c>
      <c r="AH318" s="224"/>
      <c r="AI318" s="227"/>
      <c r="AJ318" s="227"/>
      <c r="AK318" s="150">
        <f t="shared" si="201"/>
        <v>1</v>
      </c>
      <c r="AL318" s="119">
        <f t="shared" si="201"/>
        <v>2265636.4700000002</v>
      </c>
      <c r="AM318" s="120">
        <f t="shared" si="137"/>
        <v>1</v>
      </c>
      <c r="AN318" s="120">
        <v>0</v>
      </c>
      <c r="AO318" s="164">
        <f t="shared" si="138"/>
        <v>1</v>
      </c>
      <c r="AP318" s="150">
        <v>0</v>
      </c>
      <c r="AQ318" s="119">
        <f t="shared" si="139"/>
        <v>0</v>
      </c>
      <c r="AR318" s="150">
        <f t="shared" si="136"/>
        <v>1</v>
      </c>
      <c r="AS318" s="165">
        <f t="shared" si="140"/>
        <v>2832500</v>
      </c>
      <c r="AT318" s="181"/>
      <c r="AU318" s="167">
        <f t="shared" si="141"/>
        <v>0</v>
      </c>
      <c r="AV318" s="121"/>
      <c r="AW318" s="121"/>
      <c r="AX318" s="121"/>
      <c r="AY318" s="121"/>
      <c r="AZ318" s="121"/>
      <c r="BA318" s="121"/>
      <c r="BB318" s="121"/>
      <c r="BC318" s="121"/>
      <c r="BD318" s="121"/>
      <c r="BE318" s="121"/>
      <c r="BF318" s="121"/>
      <c r="BG318" s="121"/>
    </row>
    <row r="319" spans="1:59" s="122" customFormat="1" ht="15" customHeight="1">
      <c r="A319" s="113"/>
      <c r="B319" s="114" t="s">
        <v>244</v>
      </c>
      <c r="C319" s="115"/>
      <c r="D319" s="116">
        <f t="shared" ref="D319:D320" si="208">AE319/E317</f>
        <v>0.2</v>
      </c>
      <c r="E319" s="117"/>
      <c r="F319" s="116"/>
      <c r="G319" s="117">
        <f t="shared" si="115"/>
        <v>0</v>
      </c>
      <c r="H319" s="116"/>
      <c r="I319" s="117"/>
      <c r="J319" s="116"/>
      <c r="K319" s="117">
        <f t="shared" ref="K319:K333" si="209">+J319*$E319</f>
        <v>0</v>
      </c>
      <c r="L319" s="116"/>
      <c r="M319" s="117">
        <f t="shared" ref="M319:M333" si="210">L319*E319</f>
        <v>0</v>
      </c>
      <c r="N319" s="116"/>
      <c r="O319" s="117">
        <f t="shared" ref="O319:O334" si="211">+N319*$E319</f>
        <v>0</v>
      </c>
      <c r="P319" s="116"/>
      <c r="Q319" s="117">
        <f t="shared" ref="Q319:Q335" si="212">P319*E319</f>
        <v>0</v>
      </c>
      <c r="R319" s="116"/>
      <c r="S319" s="117">
        <f t="shared" ref="S319:S333" si="213">+R319*$E319</f>
        <v>0</v>
      </c>
      <c r="T319" s="116"/>
      <c r="U319" s="117">
        <f t="shared" si="200"/>
        <v>0</v>
      </c>
      <c r="V319" s="116"/>
      <c r="W319" s="117">
        <f t="shared" si="203"/>
        <v>0</v>
      </c>
      <c r="X319" s="116"/>
      <c r="Y319" s="117">
        <f t="shared" si="194"/>
        <v>0</v>
      </c>
      <c r="Z319" s="116"/>
      <c r="AA319" s="117">
        <f t="shared" si="195"/>
        <v>0</v>
      </c>
      <c r="AB319" s="116"/>
      <c r="AC319" s="117">
        <f t="shared" si="149"/>
        <v>0</v>
      </c>
      <c r="AD319" s="116">
        <v>1</v>
      </c>
      <c r="AE319" s="117">
        <f t="shared" ref="AE319:AE320" si="214">+AD319*E317*0.2</f>
        <v>566500</v>
      </c>
      <c r="AF319" s="116"/>
      <c r="AG319" s="118">
        <f t="shared" si="163"/>
        <v>0</v>
      </c>
      <c r="AH319" s="224"/>
      <c r="AI319" s="227"/>
      <c r="AJ319" s="227"/>
      <c r="AK319" s="150">
        <f t="shared" si="201"/>
        <v>0</v>
      </c>
      <c r="AL319" s="119">
        <f t="shared" si="201"/>
        <v>0</v>
      </c>
      <c r="AM319" s="120">
        <f t="shared" si="137"/>
        <v>0</v>
      </c>
      <c r="AN319" s="120">
        <v>0</v>
      </c>
      <c r="AO319" s="164">
        <f t="shared" si="138"/>
        <v>0</v>
      </c>
      <c r="AP319" s="150">
        <v>0</v>
      </c>
      <c r="AQ319" s="119">
        <f t="shared" si="139"/>
        <v>0</v>
      </c>
      <c r="AR319" s="150">
        <f t="shared" si="136"/>
        <v>0</v>
      </c>
      <c r="AS319" s="165">
        <f t="shared" si="140"/>
        <v>0</v>
      </c>
      <c r="AT319" s="181"/>
      <c r="AU319" s="167">
        <f t="shared" si="141"/>
        <v>0</v>
      </c>
      <c r="AV319" s="121"/>
      <c r="AW319" s="121"/>
      <c r="AX319" s="121"/>
      <c r="AY319" s="121"/>
      <c r="AZ319" s="121"/>
      <c r="BA319" s="121"/>
      <c r="BB319" s="121"/>
      <c r="BC319" s="121"/>
      <c r="BD319" s="121"/>
      <c r="BE319" s="121"/>
      <c r="BF319" s="121"/>
      <c r="BG319" s="121"/>
    </row>
    <row r="320" spans="1:59" s="122" customFormat="1" ht="15" customHeight="1">
      <c r="A320" s="113"/>
      <c r="B320" s="114" t="s">
        <v>245</v>
      </c>
      <c r="C320" s="115"/>
      <c r="D320" s="116">
        <f t="shared" si="208"/>
        <v>0.2</v>
      </c>
      <c r="E320" s="117"/>
      <c r="F320" s="116"/>
      <c r="G320" s="117">
        <f t="shared" si="115"/>
        <v>0</v>
      </c>
      <c r="H320" s="116"/>
      <c r="I320" s="117"/>
      <c r="J320" s="116"/>
      <c r="K320" s="117">
        <f t="shared" si="209"/>
        <v>0</v>
      </c>
      <c r="L320" s="116"/>
      <c r="M320" s="117">
        <f t="shared" si="210"/>
        <v>0</v>
      </c>
      <c r="N320" s="116"/>
      <c r="O320" s="117">
        <f t="shared" si="211"/>
        <v>0</v>
      </c>
      <c r="P320" s="116"/>
      <c r="Q320" s="117">
        <f t="shared" si="212"/>
        <v>0</v>
      </c>
      <c r="R320" s="116"/>
      <c r="S320" s="117">
        <f t="shared" si="213"/>
        <v>0</v>
      </c>
      <c r="T320" s="116"/>
      <c r="U320" s="117">
        <f t="shared" si="200"/>
        <v>0</v>
      </c>
      <c r="V320" s="116"/>
      <c r="W320" s="117">
        <f t="shared" si="203"/>
        <v>0</v>
      </c>
      <c r="X320" s="116"/>
      <c r="Y320" s="117">
        <f t="shared" si="194"/>
        <v>0</v>
      </c>
      <c r="Z320" s="116"/>
      <c r="AA320" s="117">
        <f t="shared" si="195"/>
        <v>0</v>
      </c>
      <c r="AB320" s="116"/>
      <c r="AC320" s="117">
        <f t="shared" si="149"/>
        <v>0</v>
      </c>
      <c r="AD320" s="116">
        <v>1</v>
      </c>
      <c r="AE320" s="117">
        <f t="shared" si="214"/>
        <v>566500</v>
      </c>
      <c r="AF320" s="116"/>
      <c r="AG320" s="118">
        <f t="shared" si="163"/>
        <v>0</v>
      </c>
      <c r="AH320" s="224"/>
      <c r="AI320" s="227"/>
      <c r="AJ320" s="227"/>
      <c r="AK320" s="150">
        <f t="shared" si="201"/>
        <v>0</v>
      </c>
      <c r="AL320" s="119">
        <f t="shared" si="201"/>
        <v>0</v>
      </c>
      <c r="AM320" s="120">
        <f t="shared" si="137"/>
        <v>0</v>
      </c>
      <c r="AN320" s="120">
        <v>0</v>
      </c>
      <c r="AO320" s="164">
        <f t="shared" si="138"/>
        <v>0</v>
      </c>
      <c r="AP320" s="150">
        <v>0</v>
      </c>
      <c r="AQ320" s="119">
        <f t="shared" si="139"/>
        <v>0</v>
      </c>
      <c r="AR320" s="150">
        <f t="shared" si="136"/>
        <v>0</v>
      </c>
      <c r="AS320" s="165">
        <f t="shared" si="140"/>
        <v>0</v>
      </c>
      <c r="AT320" s="181"/>
      <c r="AU320" s="167">
        <f t="shared" si="141"/>
        <v>0</v>
      </c>
      <c r="AV320" s="121"/>
      <c r="AW320" s="121"/>
      <c r="AX320" s="121"/>
      <c r="AY320" s="121"/>
      <c r="AZ320" s="121"/>
      <c r="BA320" s="121"/>
      <c r="BB320" s="121"/>
      <c r="BC320" s="121"/>
      <c r="BD320" s="121"/>
      <c r="BE320" s="121"/>
      <c r="BF320" s="121"/>
      <c r="BG320" s="121"/>
    </row>
    <row r="321" spans="1:59" s="122" customFormat="1" ht="15" customHeight="1">
      <c r="A321" s="113" t="s">
        <v>246</v>
      </c>
      <c r="B321" s="128" t="s">
        <v>247</v>
      </c>
      <c r="C321" s="129"/>
      <c r="D321" s="130"/>
      <c r="E321" s="117"/>
      <c r="F321" s="116"/>
      <c r="G321" s="117">
        <f t="shared" si="115"/>
        <v>0</v>
      </c>
      <c r="H321" s="116"/>
      <c r="I321" s="117"/>
      <c r="J321" s="116"/>
      <c r="K321" s="117">
        <f t="shared" si="209"/>
        <v>0</v>
      </c>
      <c r="L321" s="116"/>
      <c r="M321" s="117">
        <f t="shared" si="210"/>
        <v>0</v>
      </c>
      <c r="N321" s="116"/>
      <c r="O321" s="117">
        <f t="shared" si="211"/>
        <v>0</v>
      </c>
      <c r="P321" s="116"/>
      <c r="Q321" s="117">
        <f t="shared" si="212"/>
        <v>0</v>
      </c>
      <c r="R321" s="116"/>
      <c r="S321" s="117">
        <f t="shared" si="213"/>
        <v>0</v>
      </c>
      <c r="T321" s="116"/>
      <c r="U321" s="117">
        <f t="shared" si="200"/>
        <v>0</v>
      </c>
      <c r="V321" s="116"/>
      <c r="W321" s="117">
        <f t="shared" si="203"/>
        <v>0</v>
      </c>
      <c r="X321" s="116"/>
      <c r="Y321" s="117">
        <f t="shared" si="194"/>
        <v>0</v>
      </c>
      <c r="Z321" s="116"/>
      <c r="AA321" s="117">
        <f t="shared" si="195"/>
        <v>0</v>
      </c>
      <c r="AB321" s="116"/>
      <c r="AC321" s="117">
        <f t="shared" si="149"/>
        <v>0</v>
      </c>
      <c r="AD321" s="116"/>
      <c r="AE321" s="117">
        <f t="shared" ref="AE321:AE322" si="215">+AD321*E321</f>
        <v>0</v>
      </c>
      <c r="AF321" s="116"/>
      <c r="AG321" s="118">
        <f t="shared" si="163"/>
        <v>0</v>
      </c>
      <c r="AH321" s="224"/>
      <c r="AI321" s="227"/>
      <c r="AJ321" s="227"/>
      <c r="AK321" s="150">
        <f t="shared" si="201"/>
        <v>0</v>
      </c>
      <c r="AL321" s="119">
        <f t="shared" si="201"/>
        <v>0</v>
      </c>
      <c r="AM321" s="120">
        <f t="shared" si="137"/>
        <v>0</v>
      </c>
      <c r="AN321" s="120">
        <v>0</v>
      </c>
      <c r="AO321" s="164">
        <f t="shared" si="138"/>
        <v>0</v>
      </c>
      <c r="AP321" s="150">
        <v>0</v>
      </c>
      <c r="AQ321" s="119">
        <f t="shared" si="139"/>
        <v>0</v>
      </c>
      <c r="AR321" s="150">
        <f t="shared" si="136"/>
        <v>0</v>
      </c>
      <c r="AS321" s="165">
        <f t="shared" si="140"/>
        <v>0</v>
      </c>
      <c r="AT321" s="181"/>
      <c r="AU321" s="167">
        <f t="shared" si="141"/>
        <v>0</v>
      </c>
      <c r="AV321" s="121"/>
      <c r="AW321" s="121"/>
      <c r="AX321" s="121"/>
      <c r="AY321" s="121"/>
      <c r="AZ321" s="121"/>
      <c r="BA321" s="121"/>
      <c r="BB321" s="121"/>
      <c r="BC321" s="121"/>
      <c r="BD321" s="121"/>
      <c r="BE321" s="121"/>
      <c r="BF321" s="121"/>
      <c r="BG321" s="121"/>
    </row>
    <row r="322" spans="1:59" s="177" customFormat="1" ht="15" customHeight="1">
      <c r="A322" s="168"/>
      <c r="B322" s="169" t="s">
        <v>248</v>
      </c>
      <c r="C322" s="170"/>
      <c r="D322" s="171">
        <f>AA322/E322</f>
        <v>0.8</v>
      </c>
      <c r="E322" s="172">
        <v>4690000</v>
      </c>
      <c r="F322" s="171"/>
      <c r="G322" s="172">
        <f t="shared" si="115"/>
        <v>0</v>
      </c>
      <c r="H322" s="171"/>
      <c r="I322" s="172"/>
      <c r="J322" s="171"/>
      <c r="K322" s="172">
        <f t="shared" si="209"/>
        <v>0</v>
      </c>
      <c r="L322" s="171"/>
      <c r="M322" s="172">
        <f t="shared" si="210"/>
        <v>0</v>
      </c>
      <c r="N322" s="171"/>
      <c r="O322" s="172">
        <f t="shared" si="211"/>
        <v>0</v>
      </c>
      <c r="P322" s="171"/>
      <c r="Q322" s="172">
        <f t="shared" si="212"/>
        <v>0</v>
      </c>
      <c r="R322" s="171"/>
      <c r="S322" s="172">
        <f t="shared" si="213"/>
        <v>0</v>
      </c>
      <c r="T322" s="171"/>
      <c r="U322" s="172">
        <f t="shared" si="200"/>
        <v>0</v>
      </c>
      <c r="V322" s="171"/>
      <c r="W322" s="172">
        <f t="shared" si="203"/>
        <v>0</v>
      </c>
      <c r="X322" s="171"/>
      <c r="Y322" s="172">
        <f t="shared" si="194"/>
        <v>0</v>
      </c>
      <c r="Z322" s="171">
        <v>1</v>
      </c>
      <c r="AA322" s="172">
        <f>+Z322*$E322*0.8</f>
        <v>3752000</v>
      </c>
      <c r="AB322" s="171"/>
      <c r="AC322" s="172">
        <f t="shared" si="149"/>
        <v>0</v>
      </c>
      <c r="AD322" s="171"/>
      <c r="AE322" s="172">
        <f t="shared" si="215"/>
        <v>0</v>
      </c>
      <c r="AF322" s="171"/>
      <c r="AG322" s="173">
        <f t="shared" si="163"/>
        <v>0</v>
      </c>
      <c r="AH322" s="224"/>
      <c r="AI322" s="227"/>
      <c r="AJ322" s="227"/>
      <c r="AK322" s="174">
        <f t="shared" si="201"/>
        <v>0</v>
      </c>
      <c r="AL322" s="175">
        <f t="shared" si="201"/>
        <v>0</v>
      </c>
      <c r="AM322" s="176">
        <f t="shared" si="137"/>
        <v>0</v>
      </c>
      <c r="AN322" s="176">
        <v>0</v>
      </c>
      <c r="AO322" s="196">
        <f t="shared" si="138"/>
        <v>0</v>
      </c>
      <c r="AP322" s="174">
        <v>0</v>
      </c>
      <c r="AQ322" s="175">
        <f t="shared" si="139"/>
        <v>0</v>
      </c>
      <c r="AR322" s="174">
        <f t="shared" si="136"/>
        <v>0</v>
      </c>
      <c r="AS322" s="197">
        <f t="shared" si="140"/>
        <v>0</v>
      </c>
      <c r="AT322" s="166"/>
      <c r="AU322" s="198">
        <f t="shared" si="141"/>
        <v>0</v>
      </c>
      <c r="AV322" s="124"/>
      <c r="AW322" s="124"/>
      <c r="AX322" s="124"/>
      <c r="AY322" s="124"/>
      <c r="AZ322" s="124"/>
      <c r="BA322" s="124"/>
      <c r="BB322" s="124"/>
      <c r="BC322" s="124"/>
      <c r="BD322" s="124"/>
      <c r="BE322" s="124"/>
      <c r="BF322" s="124"/>
      <c r="BG322" s="124"/>
    </row>
    <row r="323" spans="1:59" s="122" customFormat="1" ht="15" customHeight="1">
      <c r="A323" s="113"/>
      <c r="B323" s="114" t="s">
        <v>249</v>
      </c>
      <c r="C323" s="115"/>
      <c r="D323" s="116">
        <f>AE323/E322</f>
        <v>0.2</v>
      </c>
      <c r="E323" s="117"/>
      <c r="F323" s="116"/>
      <c r="G323" s="117">
        <f t="shared" si="115"/>
        <v>0</v>
      </c>
      <c r="H323" s="116"/>
      <c r="I323" s="117"/>
      <c r="J323" s="116"/>
      <c r="K323" s="117">
        <f t="shared" si="209"/>
        <v>0</v>
      </c>
      <c r="L323" s="116"/>
      <c r="M323" s="117">
        <f t="shared" si="210"/>
        <v>0</v>
      </c>
      <c r="N323" s="116"/>
      <c r="O323" s="117">
        <f t="shared" si="211"/>
        <v>0</v>
      </c>
      <c r="P323" s="116"/>
      <c r="Q323" s="117">
        <f t="shared" si="212"/>
        <v>0</v>
      </c>
      <c r="R323" s="116"/>
      <c r="S323" s="117">
        <f t="shared" si="213"/>
        <v>0</v>
      </c>
      <c r="T323" s="116"/>
      <c r="U323" s="117">
        <f t="shared" si="200"/>
        <v>0</v>
      </c>
      <c r="V323" s="116"/>
      <c r="W323" s="117">
        <f t="shared" si="203"/>
        <v>0</v>
      </c>
      <c r="X323" s="116"/>
      <c r="Y323" s="117">
        <f t="shared" si="194"/>
        <v>0</v>
      </c>
      <c r="Z323" s="116"/>
      <c r="AA323" s="117">
        <f t="shared" ref="AA323:AA326" si="216">+Z323*$E323</f>
        <v>0</v>
      </c>
      <c r="AB323" s="116"/>
      <c r="AC323" s="117">
        <f t="shared" si="149"/>
        <v>0</v>
      </c>
      <c r="AD323" s="116">
        <v>1</v>
      </c>
      <c r="AE323" s="117">
        <f>+AD323*E322*0.2</f>
        <v>938000</v>
      </c>
      <c r="AF323" s="116"/>
      <c r="AG323" s="118">
        <f t="shared" si="163"/>
        <v>0</v>
      </c>
      <c r="AH323" s="224"/>
      <c r="AI323" s="227"/>
      <c r="AJ323" s="227"/>
      <c r="AK323" s="150">
        <f t="shared" si="201"/>
        <v>0</v>
      </c>
      <c r="AL323" s="119">
        <f t="shared" si="201"/>
        <v>0</v>
      </c>
      <c r="AM323" s="120">
        <f t="shared" si="137"/>
        <v>0</v>
      </c>
      <c r="AN323" s="120">
        <v>0</v>
      </c>
      <c r="AO323" s="164">
        <f t="shared" si="138"/>
        <v>0</v>
      </c>
      <c r="AP323" s="150">
        <v>0</v>
      </c>
      <c r="AQ323" s="119">
        <f t="shared" si="139"/>
        <v>0</v>
      </c>
      <c r="AR323" s="150">
        <f t="shared" si="136"/>
        <v>0</v>
      </c>
      <c r="AS323" s="165">
        <f t="shared" si="140"/>
        <v>0</v>
      </c>
      <c r="AT323" s="181"/>
      <c r="AU323" s="167">
        <f t="shared" si="141"/>
        <v>0</v>
      </c>
      <c r="AV323" s="121"/>
      <c r="AW323" s="121"/>
      <c r="AX323" s="121"/>
      <c r="AY323" s="121"/>
      <c r="AZ323" s="121"/>
      <c r="BA323" s="121"/>
      <c r="BB323" s="121"/>
      <c r="BC323" s="121"/>
      <c r="BD323" s="121"/>
      <c r="BE323" s="121"/>
      <c r="BF323" s="121"/>
      <c r="BG323" s="121"/>
    </row>
    <row r="324" spans="1:59" s="177" customFormat="1" ht="15" customHeight="1">
      <c r="A324" s="168"/>
      <c r="B324" s="169" t="s">
        <v>250</v>
      </c>
      <c r="C324" s="178"/>
      <c r="D324" s="179">
        <f>W324/E324</f>
        <v>0.8</v>
      </c>
      <c r="E324" s="172">
        <v>4500000</v>
      </c>
      <c r="F324" s="171"/>
      <c r="G324" s="172">
        <f t="shared" si="115"/>
        <v>0</v>
      </c>
      <c r="H324" s="171"/>
      <c r="I324" s="172"/>
      <c r="J324" s="171"/>
      <c r="K324" s="172">
        <f t="shared" si="209"/>
        <v>0</v>
      </c>
      <c r="L324" s="171"/>
      <c r="M324" s="172">
        <f t="shared" si="210"/>
        <v>0</v>
      </c>
      <c r="N324" s="171"/>
      <c r="O324" s="172">
        <f t="shared" si="211"/>
        <v>0</v>
      </c>
      <c r="P324" s="171"/>
      <c r="Q324" s="172">
        <f t="shared" si="212"/>
        <v>0</v>
      </c>
      <c r="R324" s="171"/>
      <c r="S324" s="172">
        <f t="shared" si="213"/>
        <v>0</v>
      </c>
      <c r="T324" s="171"/>
      <c r="U324" s="172">
        <f t="shared" si="200"/>
        <v>0</v>
      </c>
      <c r="V324" s="171">
        <v>1</v>
      </c>
      <c r="W324" s="172">
        <f>+V324*$E324*0.8</f>
        <v>3600000</v>
      </c>
      <c r="X324" s="171"/>
      <c r="Y324" s="172">
        <f t="shared" si="194"/>
        <v>0</v>
      </c>
      <c r="Z324" s="171"/>
      <c r="AA324" s="172">
        <f t="shared" si="216"/>
        <v>0</v>
      </c>
      <c r="AB324" s="171"/>
      <c r="AC324" s="172">
        <f t="shared" si="149"/>
        <v>0</v>
      </c>
      <c r="AD324" s="171"/>
      <c r="AE324" s="172">
        <f>+AD324*E324</f>
        <v>0</v>
      </c>
      <c r="AF324" s="171"/>
      <c r="AG324" s="173">
        <f t="shared" si="163"/>
        <v>0</v>
      </c>
      <c r="AH324" s="224"/>
      <c r="AI324" s="227"/>
      <c r="AJ324" s="227"/>
      <c r="AK324" s="174">
        <f t="shared" si="201"/>
        <v>0</v>
      </c>
      <c r="AL324" s="175">
        <f t="shared" si="201"/>
        <v>0</v>
      </c>
      <c r="AM324" s="176">
        <f t="shared" si="137"/>
        <v>0</v>
      </c>
      <c r="AN324" s="176">
        <v>0</v>
      </c>
      <c r="AO324" s="196">
        <f t="shared" si="138"/>
        <v>0</v>
      </c>
      <c r="AP324" s="174">
        <v>0</v>
      </c>
      <c r="AQ324" s="175">
        <f t="shared" si="139"/>
        <v>0</v>
      </c>
      <c r="AR324" s="174">
        <f t="shared" si="136"/>
        <v>0</v>
      </c>
      <c r="AS324" s="197">
        <f t="shared" si="140"/>
        <v>0</v>
      </c>
      <c r="AT324" s="166"/>
      <c r="AU324" s="198">
        <f t="shared" si="141"/>
        <v>0</v>
      </c>
      <c r="AV324" s="124"/>
      <c r="AW324" s="124"/>
      <c r="AX324" s="124"/>
      <c r="AY324" s="124"/>
      <c r="AZ324" s="124"/>
      <c r="BA324" s="124"/>
      <c r="BB324" s="124"/>
      <c r="BC324" s="124"/>
      <c r="BD324" s="124"/>
      <c r="BE324" s="124"/>
      <c r="BF324" s="124"/>
      <c r="BG324" s="124"/>
    </row>
    <row r="325" spans="1:59" s="122" customFormat="1" ht="15" customHeight="1">
      <c r="A325" s="113"/>
      <c r="B325" s="114" t="s">
        <v>251</v>
      </c>
      <c r="C325" s="131"/>
      <c r="D325" s="132">
        <f>AE325/E324</f>
        <v>0.2</v>
      </c>
      <c r="E325" s="117"/>
      <c r="F325" s="116"/>
      <c r="G325" s="117">
        <f t="shared" si="115"/>
        <v>0</v>
      </c>
      <c r="H325" s="116"/>
      <c r="I325" s="117"/>
      <c r="J325" s="116"/>
      <c r="K325" s="117">
        <f t="shared" si="209"/>
        <v>0</v>
      </c>
      <c r="L325" s="116"/>
      <c r="M325" s="117">
        <f t="shared" si="210"/>
        <v>0</v>
      </c>
      <c r="N325" s="116"/>
      <c r="O325" s="117">
        <f t="shared" si="211"/>
        <v>0</v>
      </c>
      <c r="P325" s="116"/>
      <c r="Q325" s="117">
        <f t="shared" si="212"/>
        <v>0</v>
      </c>
      <c r="R325" s="116"/>
      <c r="S325" s="117">
        <f t="shared" si="213"/>
        <v>0</v>
      </c>
      <c r="T325" s="116"/>
      <c r="U325" s="117">
        <f t="shared" si="200"/>
        <v>0</v>
      </c>
      <c r="V325" s="116"/>
      <c r="W325" s="117">
        <f t="shared" ref="W325:W333" si="217">+V325*E325</f>
        <v>0</v>
      </c>
      <c r="X325" s="116"/>
      <c r="Y325" s="117">
        <f t="shared" si="194"/>
        <v>0</v>
      </c>
      <c r="Z325" s="116"/>
      <c r="AA325" s="117">
        <f t="shared" si="216"/>
        <v>0</v>
      </c>
      <c r="AB325" s="116"/>
      <c r="AC325" s="117">
        <f t="shared" si="149"/>
        <v>0</v>
      </c>
      <c r="AD325" s="116">
        <v>1</v>
      </c>
      <c r="AE325" s="117">
        <f>+AD325*E324*0.2</f>
        <v>900000</v>
      </c>
      <c r="AF325" s="116"/>
      <c r="AG325" s="118">
        <f t="shared" si="163"/>
        <v>0</v>
      </c>
      <c r="AH325" s="224"/>
      <c r="AI325" s="227"/>
      <c r="AJ325" s="227"/>
      <c r="AK325" s="150">
        <f t="shared" si="201"/>
        <v>0</v>
      </c>
      <c r="AL325" s="119">
        <f t="shared" si="201"/>
        <v>0</v>
      </c>
      <c r="AM325" s="120">
        <f t="shared" si="137"/>
        <v>0</v>
      </c>
      <c r="AN325" s="120">
        <v>0</v>
      </c>
      <c r="AO325" s="164">
        <f t="shared" si="138"/>
        <v>0</v>
      </c>
      <c r="AP325" s="150">
        <v>0</v>
      </c>
      <c r="AQ325" s="119">
        <f t="shared" si="139"/>
        <v>0</v>
      </c>
      <c r="AR325" s="150">
        <f t="shared" si="136"/>
        <v>0</v>
      </c>
      <c r="AS325" s="165">
        <f t="shared" si="140"/>
        <v>0</v>
      </c>
      <c r="AT325" s="181"/>
      <c r="AU325" s="167">
        <f t="shared" si="141"/>
        <v>0</v>
      </c>
      <c r="AV325" s="121"/>
      <c r="AW325" s="121"/>
      <c r="AX325" s="121"/>
      <c r="AY325" s="121"/>
      <c r="AZ325" s="121"/>
      <c r="BA325" s="121"/>
      <c r="BB325" s="121"/>
      <c r="BC325" s="121"/>
      <c r="BD325" s="121"/>
      <c r="BE325" s="121"/>
      <c r="BF325" s="121"/>
      <c r="BG325" s="121"/>
    </row>
    <row r="326" spans="1:59" s="122" customFormat="1" ht="15" customHeight="1">
      <c r="A326" s="113" t="s">
        <v>252</v>
      </c>
      <c r="B326" s="128" t="s">
        <v>253</v>
      </c>
      <c r="C326" s="129"/>
      <c r="D326" s="130"/>
      <c r="E326" s="117"/>
      <c r="F326" s="116"/>
      <c r="G326" s="117">
        <f t="shared" si="115"/>
        <v>0</v>
      </c>
      <c r="H326" s="116"/>
      <c r="I326" s="117"/>
      <c r="J326" s="116"/>
      <c r="K326" s="117">
        <f t="shared" si="209"/>
        <v>0</v>
      </c>
      <c r="L326" s="116"/>
      <c r="M326" s="117">
        <f t="shared" si="210"/>
        <v>0</v>
      </c>
      <c r="N326" s="116"/>
      <c r="O326" s="117">
        <f t="shared" si="211"/>
        <v>0</v>
      </c>
      <c r="P326" s="116"/>
      <c r="Q326" s="117">
        <f t="shared" si="212"/>
        <v>0</v>
      </c>
      <c r="R326" s="116"/>
      <c r="S326" s="117">
        <f t="shared" si="213"/>
        <v>0</v>
      </c>
      <c r="T326" s="116"/>
      <c r="U326" s="117">
        <f t="shared" si="200"/>
        <v>0</v>
      </c>
      <c r="V326" s="116"/>
      <c r="W326" s="117">
        <f t="shared" si="217"/>
        <v>0</v>
      </c>
      <c r="X326" s="116"/>
      <c r="Y326" s="117">
        <f t="shared" si="194"/>
        <v>0</v>
      </c>
      <c r="Z326" s="116"/>
      <c r="AA326" s="117">
        <f t="shared" si="216"/>
        <v>0</v>
      </c>
      <c r="AB326" s="116"/>
      <c r="AC326" s="117">
        <f t="shared" si="149"/>
        <v>0</v>
      </c>
      <c r="AD326" s="116"/>
      <c r="AE326" s="117">
        <f t="shared" ref="AE326:AE327" si="218">+AD326*E326</f>
        <v>0</v>
      </c>
      <c r="AF326" s="116"/>
      <c r="AG326" s="118">
        <f t="shared" si="163"/>
        <v>0</v>
      </c>
      <c r="AH326" s="224"/>
      <c r="AI326" s="227"/>
      <c r="AJ326" s="227"/>
      <c r="AK326" s="150">
        <f t="shared" si="201"/>
        <v>0</v>
      </c>
      <c r="AL326" s="119">
        <f t="shared" si="201"/>
        <v>0</v>
      </c>
      <c r="AM326" s="120">
        <f t="shared" si="137"/>
        <v>0</v>
      </c>
      <c r="AN326" s="120">
        <v>0</v>
      </c>
      <c r="AO326" s="164">
        <f t="shared" si="138"/>
        <v>0</v>
      </c>
      <c r="AP326" s="150">
        <v>0</v>
      </c>
      <c r="AQ326" s="119">
        <f t="shared" si="139"/>
        <v>0</v>
      </c>
      <c r="AR326" s="150">
        <f t="shared" si="136"/>
        <v>0</v>
      </c>
      <c r="AS326" s="165">
        <f t="shared" si="140"/>
        <v>0</v>
      </c>
      <c r="AT326" s="181"/>
      <c r="AU326" s="167">
        <f t="shared" si="141"/>
        <v>0</v>
      </c>
      <c r="AV326" s="121"/>
      <c r="AW326" s="121"/>
      <c r="AX326" s="121"/>
      <c r="AY326" s="121"/>
      <c r="AZ326" s="121"/>
      <c r="BA326" s="121"/>
      <c r="BB326" s="121"/>
      <c r="BC326" s="121"/>
      <c r="BD326" s="121"/>
      <c r="BE326" s="121"/>
      <c r="BF326" s="121"/>
      <c r="BG326" s="121"/>
    </row>
    <row r="327" spans="1:59" s="122" customFormat="1" ht="15" customHeight="1">
      <c r="A327" s="113"/>
      <c r="B327" s="114" t="s">
        <v>254</v>
      </c>
      <c r="C327" s="115"/>
      <c r="D327" s="116">
        <f>AA327/E327</f>
        <v>0.8</v>
      </c>
      <c r="E327" s="117">
        <v>1000000</v>
      </c>
      <c r="F327" s="116"/>
      <c r="G327" s="117">
        <f t="shared" si="115"/>
        <v>0</v>
      </c>
      <c r="H327" s="116"/>
      <c r="I327" s="117"/>
      <c r="J327" s="116"/>
      <c r="K327" s="117">
        <f t="shared" si="209"/>
        <v>0</v>
      </c>
      <c r="L327" s="116"/>
      <c r="M327" s="117">
        <f t="shared" si="210"/>
        <v>0</v>
      </c>
      <c r="N327" s="116"/>
      <c r="O327" s="117">
        <f t="shared" si="211"/>
        <v>0</v>
      </c>
      <c r="P327" s="116"/>
      <c r="Q327" s="117">
        <f t="shared" si="212"/>
        <v>0</v>
      </c>
      <c r="R327" s="116"/>
      <c r="S327" s="117">
        <f t="shared" si="213"/>
        <v>0</v>
      </c>
      <c r="T327" s="116"/>
      <c r="U327" s="117">
        <f t="shared" si="200"/>
        <v>0</v>
      </c>
      <c r="V327" s="116"/>
      <c r="W327" s="117">
        <f t="shared" si="217"/>
        <v>0</v>
      </c>
      <c r="X327" s="116"/>
      <c r="Y327" s="117">
        <f t="shared" si="194"/>
        <v>0</v>
      </c>
      <c r="Z327" s="116">
        <v>1</v>
      </c>
      <c r="AA327" s="117">
        <f>+Z327*$E327*0.8</f>
        <v>800000</v>
      </c>
      <c r="AB327" s="116">
        <v>1</v>
      </c>
      <c r="AC327" s="117">
        <f>AB327*E327*0.8</f>
        <v>800000</v>
      </c>
      <c r="AD327" s="116"/>
      <c r="AE327" s="117">
        <f t="shared" si="218"/>
        <v>0</v>
      </c>
      <c r="AF327" s="116"/>
      <c r="AG327" s="118">
        <f t="shared" si="163"/>
        <v>0</v>
      </c>
      <c r="AH327" s="224"/>
      <c r="AI327" s="227"/>
      <c r="AJ327" s="227"/>
      <c r="AK327" s="150">
        <f t="shared" si="201"/>
        <v>1</v>
      </c>
      <c r="AL327" s="119">
        <f t="shared" si="201"/>
        <v>800000</v>
      </c>
      <c r="AM327" s="120">
        <f t="shared" si="137"/>
        <v>1</v>
      </c>
      <c r="AN327" s="120">
        <v>1</v>
      </c>
      <c r="AO327" s="164">
        <f t="shared" si="138"/>
        <v>0</v>
      </c>
      <c r="AP327" s="150">
        <v>0</v>
      </c>
      <c r="AQ327" s="119">
        <f t="shared" si="139"/>
        <v>0</v>
      </c>
      <c r="AR327" s="150">
        <f t="shared" si="136"/>
        <v>1</v>
      </c>
      <c r="AS327" s="165">
        <f>AR327*E327*0.8</f>
        <v>800000</v>
      </c>
      <c r="AT327" s="181"/>
      <c r="AU327" s="167">
        <f t="shared" si="141"/>
        <v>0</v>
      </c>
      <c r="AV327" s="121"/>
      <c r="AW327" s="121"/>
      <c r="AX327" s="121"/>
      <c r="AY327" s="121"/>
      <c r="AZ327" s="121"/>
      <c r="BA327" s="121"/>
      <c r="BB327" s="121"/>
      <c r="BC327" s="121"/>
      <c r="BD327" s="121"/>
      <c r="BE327" s="121"/>
      <c r="BF327" s="121"/>
      <c r="BG327" s="121"/>
    </row>
    <row r="328" spans="1:59" s="122" customFormat="1" ht="15" customHeight="1">
      <c r="A328" s="113"/>
      <c r="B328" s="114" t="s">
        <v>255</v>
      </c>
      <c r="C328" s="115"/>
      <c r="D328" s="116">
        <f>AE328/E327</f>
        <v>0.2</v>
      </c>
      <c r="E328" s="117"/>
      <c r="F328" s="116"/>
      <c r="G328" s="117">
        <f t="shared" si="115"/>
        <v>0</v>
      </c>
      <c r="H328" s="116"/>
      <c r="I328" s="117"/>
      <c r="J328" s="116"/>
      <c r="K328" s="117">
        <f t="shared" si="209"/>
        <v>0</v>
      </c>
      <c r="L328" s="116"/>
      <c r="M328" s="117">
        <f t="shared" si="210"/>
        <v>0</v>
      </c>
      <c r="N328" s="116"/>
      <c r="O328" s="117">
        <f t="shared" si="211"/>
        <v>0</v>
      </c>
      <c r="P328" s="116"/>
      <c r="Q328" s="117">
        <f t="shared" si="212"/>
        <v>0</v>
      </c>
      <c r="R328" s="116"/>
      <c r="S328" s="117">
        <f t="shared" si="213"/>
        <v>0</v>
      </c>
      <c r="T328" s="116"/>
      <c r="U328" s="117">
        <f t="shared" si="200"/>
        <v>0</v>
      </c>
      <c r="V328" s="116"/>
      <c r="W328" s="117">
        <f t="shared" si="217"/>
        <v>0</v>
      </c>
      <c r="X328" s="116"/>
      <c r="Y328" s="117">
        <f t="shared" si="194"/>
        <v>0</v>
      </c>
      <c r="Z328" s="116"/>
      <c r="AA328" s="117">
        <f t="shared" ref="AA328:AA329" si="219">+Z328*$E328</f>
        <v>0</v>
      </c>
      <c r="AB328" s="116"/>
      <c r="AC328" s="117">
        <f t="shared" si="149"/>
        <v>0</v>
      </c>
      <c r="AD328" s="116">
        <v>1</v>
      </c>
      <c r="AE328" s="117">
        <f>+AD328*E327*0.2</f>
        <v>200000</v>
      </c>
      <c r="AF328" s="116"/>
      <c r="AG328" s="118">
        <f t="shared" si="163"/>
        <v>0</v>
      </c>
      <c r="AH328" s="224"/>
      <c r="AI328" s="227"/>
      <c r="AJ328" s="227"/>
      <c r="AK328" s="150">
        <f t="shared" ref="AK328:AL333" si="220">F328+H328+L328+P328+T328+X328+AB328+AF328</f>
        <v>0</v>
      </c>
      <c r="AL328" s="119">
        <f t="shared" si="220"/>
        <v>0</v>
      </c>
      <c r="AM328" s="120">
        <f t="shared" si="137"/>
        <v>0</v>
      </c>
      <c r="AN328" s="120">
        <v>0</v>
      </c>
      <c r="AO328" s="164">
        <f t="shared" si="138"/>
        <v>0</v>
      </c>
      <c r="AP328" s="150">
        <v>0</v>
      </c>
      <c r="AQ328" s="119">
        <f t="shared" si="139"/>
        <v>0</v>
      </c>
      <c r="AR328" s="150">
        <f t="shared" ref="AR328:AR335" si="221">AK328-AP328</f>
        <v>0</v>
      </c>
      <c r="AS328" s="165">
        <f t="shared" si="140"/>
        <v>0</v>
      </c>
      <c r="AT328" s="181"/>
      <c r="AU328" s="167">
        <f t="shared" si="141"/>
        <v>0</v>
      </c>
      <c r="AV328" s="121"/>
      <c r="AW328" s="121"/>
      <c r="AX328" s="121"/>
      <c r="AY328" s="121"/>
      <c r="AZ328" s="121"/>
      <c r="BA328" s="121"/>
      <c r="BB328" s="121"/>
      <c r="BC328" s="121"/>
      <c r="BD328" s="121"/>
      <c r="BE328" s="121"/>
      <c r="BF328" s="121"/>
      <c r="BG328" s="121"/>
    </row>
    <row r="329" spans="1:59" s="122" customFormat="1" ht="15" customHeight="1">
      <c r="A329" s="113" t="s">
        <v>256</v>
      </c>
      <c r="B329" s="128" t="s">
        <v>257</v>
      </c>
      <c r="C329" s="129"/>
      <c r="D329" s="130"/>
      <c r="E329" s="117"/>
      <c r="F329" s="116"/>
      <c r="G329" s="117">
        <f t="shared" si="115"/>
        <v>0</v>
      </c>
      <c r="H329" s="116"/>
      <c r="I329" s="117"/>
      <c r="J329" s="116"/>
      <c r="K329" s="117">
        <f t="shared" si="209"/>
        <v>0</v>
      </c>
      <c r="L329" s="116"/>
      <c r="M329" s="117">
        <f t="shared" si="210"/>
        <v>0</v>
      </c>
      <c r="N329" s="116"/>
      <c r="O329" s="117">
        <f t="shared" si="211"/>
        <v>0</v>
      </c>
      <c r="P329" s="116"/>
      <c r="Q329" s="117">
        <f t="shared" si="212"/>
        <v>0</v>
      </c>
      <c r="R329" s="116"/>
      <c r="S329" s="117">
        <f t="shared" si="213"/>
        <v>0</v>
      </c>
      <c r="T329" s="116"/>
      <c r="U329" s="117">
        <f t="shared" si="200"/>
        <v>0</v>
      </c>
      <c r="V329" s="116"/>
      <c r="W329" s="117">
        <f t="shared" si="217"/>
        <v>0</v>
      </c>
      <c r="X329" s="116"/>
      <c r="Y329" s="117">
        <f t="shared" si="194"/>
        <v>0</v>
      </c>
      <c r="Z329" s="116"/>
      <c r="AA329" s="117">
        <f t="shared" si="219"/>
        <v>0</v>
      </c>
      <c r="AB329" s="116"/>
      <c r="AC329" s="117">
        <f t="shared" si="149"/>
        <v>0</v>
      </c>
      <c r="AD329" s="116"/>
      <c r="AE329" s="117">
        <f t="shared" ref="AE329:AE330" si="222">+AD329*E329</f>
        <v>0</v>
      </c>
      <c r="AF329" s="116"/>
      <c r="AG329" s="118">
        <f t="shared" si="163"/>
        <v>0</v>
      </c>
      <c r="AH329" s="224"/>
      <c r="AI329" s="227"/>
      <c r="AJ329" s="227"/>
      <c r="AK329" s="150">
        <f t="shared" si="220"/>
        <v>0</v>
      </c>
      <c r="AL329" s="119">
        <f t="shared" si="220"/>
        <v>0</v>
      </c>
      <c r="AM329" s="120">
        <f t="shared" ref="AM329:AM333" si="223">F329+H329+L329+P329+T329+X329+AB329+AF329</f>
        <v>0</v>
      </c>
      <c r="AN329" s="120">
        <v>0</v>
      </c>
      <c r="AO329" s="164">
        <f t="shared" ref="AO329:AO333" si="224">AM329-AN329</f>
        <v>0</v>
      </c>
      <c r="AP329" s="150">
        <v>0</v>
      </c>
      <c r="AQ329" s="119">
        <f t="shared" ref="AQ329:AQ333" si="225">AP329*E329</f>
        <v>0</v>
      </c>
      <c r="AR329" s="150">
        <f t="shared" si="221"/>
        <v>0</v>
      </c>
      <c r="AS329" s="165">
        <f t="shared" ref="AS329:AS334" si="226">AR329*E329</f>
        <v>0</v>
      </c>
      <c r="AT329" s="181"/>
      <c r="AU329" s="167">
        <f t="shared" ref="AU329:AU335" si="227">AT329*E329</f>
        <v>0</v>
      </c>
      <c r="AV329" s="121"/>
      <c r="AW329" s="121"/>
      <c r="AX329" s="121"/>
      <c r="AY329" s="121"/>
      <c r="AZ329" s="121"/>
      <c r="BA329" s="121"/>
      <c r="BB329" s="121"/>
      <c r="BC329" s="121"/>
      <c r="BD329" s="121"/>
      <c r="BE329" s="121"/>
      <c r="BF329" s="121"/>
      <c r="BG329" s="121"/>
    </row>
    <row r="330" spans="1:59" s="177" customFormat="1" ht="15" customHeight="1">
      <c r="A330" s="168"/>
      <c r="B330" s="169" t="s">
        <v>258</v>
      </c>
      <c r="C330" s="170"/>
      <c r="D330" s="171">
        <f>AA330/E330</f>
        <v>0.8</v>
      </c>
      <c r="E330" s="172">
        <f>1000000</f>
        <v>1000000</v>
      </c>
      <c r="F330" s="171"/>
      <c r="G330" s="172">
        <f t="shared" si="115"/>
        <v>0</v>
      </c>
      <c r="H330" s="171"/>
      <c r="I330" s="172"/>
      <c r="J330" s="171"/>
      <c r="K330" s="172">
        <f t="shared" si="209"/>
        <v>0</v>
      </c>
      <c r="L330" s="171"/>
      <c r="M330" s="172">
        <f t="shared" si="210"/>
        <v>0</v>
      </c>
      <c r="N330" s="171"/>
      <c r="O330" s="172">
        <f t="shared" si="211"/>
        <v>0</v>
      </c>
      <c r="P330" s="171"/>
      <c r="Q330" s="172">
        <f t="shared" si="212"/>
        <v>0</v>
      </c>
      <c r="R330" s="171"/>
      <c r="S330" s="172">
        <f t="shared" si="213"/>
        <v>0</v>
      </c>
      <c r="T330" s="171"/>
      <c r="U330" s="172">
        <f t="shared" si="200"/>
        <v>0</v>
      </c>
      <c r="V330" s="171"/>
      <c r="W330" s="172">
        <f t="shared" si="217"/>
        <v>0</v>
      </c>
      <c r="X330" s="171"/>
      <c r="Y330" s="172">
        <f t="shared" si="194"/>
        <v>0</v>
      </c>
      <c r="Z330" s="171">
        <v>1</v>
      </c>
      <c r="AA330" s="172">
        <f>+Z330*$E330*0.8</f>
        <v>800000</v>
      </c>
      <c r="AB330" s="171">
        <v>1</v>
      </c>
      <c r="AC330" s="172">
        <f>AB330*E330*0.8</f>
        <v>800000</v>
      </c>
      <c r="AD330" s="171"/>
      <c r="AE330" s="172">
        <f t="shared" si="222"/>
        <v>0</v>
      </c>
      <c r="AF330" s="171"/>
      <c r="AG330" s="173">
        <f t="shared" si="163"/>
        <v>0</v>
      </c>
      <c r="AH330" s="224"/>
      <c r="AI330" s="227"/>
      <c r="AJ330" s="227"/>
      <c r="AK330" s="174">
        <f t="shared" si="220"/>
        <v>1</v>
      </c>
      <c r="AL330" s="175">
        <f t="shared" si="220"/>
        <v>800000</v>
      </c>
      <c r="AM330" s="176">
        <f t="shared" si="223"/>
        <v>1</v>
      </c>
      <c r="AN330" s="176">
        <v>0.5</v>
      </c>
      <c r="AO330" s="196">
        <f t="shared" si="224"/>
        <v>0.5</v>
      </c>
      <c r="AP330" s="174">
        <v>0</v>
      </c>
      <c r="AQ330" s="175">
        <f t="shared" si="225"/>
        <v>0</v>
      </c>
      <c r="AR330" s="174">
        <f t="shared" si="221"/>
        <v>1</v>
      </c>
      <c r="AS330" s="197">
        <f t="shared" si="226"/>
        <v>1000000</v>
      </c>
      <c r="AT330" s="166"/>
      <c r="AU330" s="198">
        <f t="shared" si="227"/>
        <v>0</v>
      </c>
      <c r="AV330" s="124"/>
      <c r="AW330" s="124"/>
      <c r="AX330" s="124"/>
      <c r="AY330" s="124"/>
      <c r="AZ330" s="124"/>
      <c r="BA330" s="124"/>
      <c r="BB330" s="124"/>
      <c r="BC330" s="124"/>
      <c r="BD330" s="124"/>
      <c r="BE330" s="124"/>
      <c r="BF330" s="124"/>
      <c r="BG330" s="124"/>
    </row>
    <row r="331" spans="1:59" s="122" customFormat="1" ht="15" customHeight="1">
      <c r="A331" s="113"/>
      <c r="B331" s="114" t="s">
        <v>259</v>
      </c>
      <c r="C331" s="115"/>
      <c r="D331" s="116">
        <f>AE331/E330</f>
        <v>0.2</v>
      </c>
      <c r="E331" s="117"/>
      <c r="F331" s="116"/>
      <c r="G331" s="117">
        <f t="shared" si="115"/>
        <v>0</v>
      </c>
      <c r="H331" s="116"/>
      <c r="I331" s="117"/>
      <c r="J331" s="116"/>
      <c r="K331" s="117">
        <f t="shared" si="209"/>
        <v>0</v>
      </c>
      <c r="L331" s="116"/>
      <c r="M331" s="117">
        <f t="shared" si="210"/>
        <v>0</v>
      </c>
      <c r="N331" s="116"/>
      <c r="O331" s="117">
        <f t="shared" si="211"/>
        <v>0</v>
      </c>
      <c r="P331" s="116"/>
      <c r="Q331" s="117">
        <f t="shared" si="212"/>
        <v>0</v>
      </c>
      <c r="R331" s="116"/>
      <c r="S331" s="117">
        <f t="shared" si="213"/>
        <v>0</v>
      </c>
      <c r="T331" s="116"/>
      <c r="U331" s="117">
        <f t="shared" si="200"/>
        <v>0</v>
      </c>
      <c r="V331" s="116"/>
      <c r="W331" s="117">
        <f t="shared" si="217"/>
        <v>0</v>
      </c>
      <c r="X331" s="116"/>
      <c r="Y331" s="117">
        <f t="shared" si="194"/>
        <v>0</v>
      </c>
      <c r="Z331" s="116"/>
      <c r="AA331" s="117">
        <f t="shared" ref="AA331:AA333" si="228">+Z331*$E331</f>
        <v>0</v>
      </c>
      <c r="AB331" s="116"/>
      <c r="AC331" s="117">
        <f t="shared" si="149"/>
        <v>0</v>
      </c>
      <c r="AD331" s="116">
        <v>1</v>
      </c>
      <c r="AE331" s="117">
        <f>+AD331*E330*0.2</f>
        <v>200000</v>
      </c>
      <c r="AF331" s="116"/>
      <c r="AG331" s="118">
        <f t="shared" si="163"/>
        <v>0</v>
      </c>
      <c r="AH331" s="224"/>
      <c r="AI331" s="227"/>
      <c r="AJ331" s="227"/>
      <c r="AK331" s="150">
        <f t="shared" si="220"/>
        <v>0</v>
      </c>
      <c r="AL331" s="119">
        <f t="shared" si="220"/>
        <v>0</v>
      </c>
      <c r="AM331" s="120">
        <f t="shared" si="223"/>
        <v>0</v>
      </c>
      <c r="AN331" s="120">
        <v>0</v>
      </c>
      <c r="AO331" s="164">
        <f t="shared" si="224"/>
        <v>0</v>
      </c>
      <c r="AP331" s="150">
        <v>0</v>
      </c>
      <c r="AQ331" s="119">
        <f t="shared" si="225"/>
        <v>0</v>
      </c>
      <c r="AR331" s="150">
        <f t="shared" si="221"/>
        <v>0</v>
      </c>
      <c r="AS331" s="165">
        <f t="shared" si="226"/>
        <v>0</v>
      </c>
      <c r="AT331" s="181"/>
      <c r="AU331" s="167">
        <f t="shared" si="227"/>
        <v>0</v>
      </c>
      <c r="AV331" s="121"/>
      <c r="AW331" s="121"/>
      <c r="AX331" s="121"/>
      <c r="AY331" s="121"/>
      <c r="AZ331" s="121"/>
      <c r="BA331" s="121"/>
      <c r="BB331" s="121"/>
      <c r="BC331" s="121"/>
      <c r="BD331" s="121"/>
      <c r="BE331" s="121"/>
      <c r="BF331" s="121"/>
      <c r="BG331" s="121"/>
    </row>
    <row r="332" spans="1:59" s="122" customFormat="1" ht="15" customHeight="1">
      <c r="A332" s="113" t="s">
        <v>260</v>
      </c>
      <c r="B332" s="128" t="s">
        <v>261</v>
      </c>
      <c r="C332" s="129"/>
      <c r="D332" s="130">
        <f t="shared" ref="D332:D333" si="229">AE332/E332</f>
        <v>1</v>
      </c>
      <c r="E332" s="117">
        <f>19400000*0.42-500000</f>
        <v>7648000</v>
      </c>
      <c r="F332" s="116"/>
      <c r="G332" s="117">
        <f t="shared" si="115"/>
        <v>0</v>
      </c>
      <c r="H332" s="116"/>
      <c r="I332" s="117"/>
      <c r="J332" s="116"/>
      <c r="K332" s="117">
        <f t="shared" si="209"/>
        <v>0</v>
      </c>
      <c r="L332" s="116"/>
      <c r="M332" s="117">
        <f t="shared" si="210"/>
        <v>0</v>
      </c>
      <c r="N332" s="116"/>
      <c r="O332" s="117">
        <f t="shared" si="211"/>
        <v>0</v>
      </c>
      <c r="P332" s="116"/>
      <c r="Q332" s="117">
        <f t="shared" si="212"/>
        <v>0</v>
      </c>
      <c r="R332" s="116"/>
      <c r="S332" s="117">
        <f t="shared" si="213"/>
        <v>0</v>
      </c>
      <c r="T332" s="116"/>
      <c r="U332" s="117">
        <f t="shared" si="200"/>
        <v>0</v>
      </c>
      <c r="V332" s="116"/>
      <c r="W332" s="117">
        <f t="shared" si="217"/>
        <v>0</v>
      </c>
      <c r="X332" s="116"/>
      <c r="Y332" s="117">
        <f t="shared" si="194"/>
        <v>0</v>
      </c>
      <c r="Z332" s="116"/>
      <c r="AA332" s="117">
        <f t="shared" si="228"/>
        <v>0</v>
      </c>
      <c r="AB332" s="116"/>
      <c r="AC332" s="117">
        <f t="shared" si="149"/>
        <v>0</v>
      </c>
      <c r="AD332" s="116">
        <v>1</v>
      </c>
      <c r="AE332" s="117">
        <f t="shared" ref="AE332:AE333" si="230">+AD332*E332</f>
        <v>7648000</v>
      </c>
      <c r="AF332" s="116"/>
      <c r="AG332" s="118">
        <f t="shared" si="163"/>
        <v>0</v>
      </c>
      <c r="AH332" s="224"/>
      <c r="AI332" s="227"/>
      <c r="AJ332" s="227"/>
      <c r="AK332" s="150">
        <f t="shared" si="220"/>
        <v>0</v>
      </c>
      <c r="AL332" s="119">
        <f t="shared" si="220"/>
        <v>0</v>
      </c>
      <c r="AM332" s="120">
        <f t="shared" si="223"/>
        <v>0</v>
      </c>
      <c r="AN332" s="120">
        <v>0</v>
      </c>
      <c r="AO332" s="164">
        <f t="shared" si="224"/>
        <v>0</v>
      </c>
      <c r="AP332" s="150">
        <v>0</v>
      </c>
      <c r="AQ332" s="119">
        <f t="shared" si="225"/>
        <v>0</v>
      </c>
      <c r="AR332" s="150">
        <f t="shared" si="221"/>
        <v>0</v>
      </c>
      <c r="AS332" s="165">
        <f t="shared" si="226"/>
        <v>0</v>
      </c>
      <c r="AT332" s="181"/>
      <c r="AU332" s="167">
        <f t="shared" si="227"/>
        <v>0</v>
      </c>
      <c r="AV332" s="121"/>
      <c r="AW332" s="121"/>
      <c r="AX332" s="121"/>
      <c r="AY332" s="121"/>
      <c r="AZ332" s="121"/>
      <c r="BA332" s="121"/>
      <c r="BB332" s="121"/>
      <c r="BC332" s="121"/>
      <c r="BD332" s="121"/>
      <c r="BE332" s="121"/>
      <c r="BF332" s="121"/>
      <c r="BG332" s="121"/>
    </row>
    <row r="333" spans="1:59" s="122" customFormat="1" ht="15" customHeight="1">
      <c r="A333" s="113" t="s">
        <v>262</v>
      </c>
      <c r="B333" s="128" t="s">
        <v>263</v>
      </c>
      <c r="C333" s="129"/>
      <c r="D333" s="130">
        <f t="shared" si="229"/>
        <v>1</v>
      </c>
      <c r="E333" s="117">
        <v>370000</v>
      </c>
      <c r="F333" s="116"/>
      <c r="G333" s="117">
        <f t="shared" si="115"/>
        <v>0</v>
      </c>
      <c r="H333" s="116"/>
      <c r="I333" s="117"/>
      <c r="J333" s="116"/>
      <c r="K333" s="117">
        <f t="shared" si="209"/>
        <v>0</v>
      </c>
      <c r="L333" s="116"/>
      <c r="M333" s="117">
        <f t="shared" si="210"/>
        <v>0</v>
      </c>
      <c r="N333" s="116"/>
      <c r="O333" s="117">
        <f t="shared" si="211"/>
        <v>0</v>
      </c>
      <c r="P333" s="116"/>
      <c r="Q333" s="117">
        <f t="shared" si="212"/>
        <v>0</v>
      </c>
      <c r="R333" s="116"/>
      <c r="S333" s="117">
        <f t="shared" si="213"/>
        <v>0</v>
      </c>
      <c r="T333" s="116"/>
      <c r="U333" s="117">
        <f t="shared" si="200"/>
        <v>0</v>
      </c>
      <c r="V333" s="116"/>
      <c r="W333" s="117">
        <f t="shared" si="217"/>
        <v>0</v>
      </c>
      <c r="X333" s="116"/>
      <c r="Y333" s="117">
        <f t="shared" si="194"/>
        <v>0</v>
      </c>
      <c r="Z333" s="116"/>
      <c r="AA333" s="117">
        <f t="shared" si="228"/>
        <v>0</v>
      </c>
      <c r="AB333" s="116"/>
      <c r="AC333" s="117">
        <f t="shared" si="149"/>
        <v>0</v>
      </c>
      <c r="AD333" s="116">
        <v>1</v>
      </c>
      <c r="AE333" s="117">
        <f t="shared" si="230"/>
        <v>370000</v>
      </c>
      <c r="AF333" s="116"/>
      <c r="AG333" s="118">
        <f t="shared" si="163"/>
        <v>0</v>
      </c>
      <c r="AH333" s="225"/>
      <c r="AI333" s="228"/>
      <c r="AJ333" s="228"/>
      <c r="AK333" s="150">
        <f t="shared" si="220"/>
        <v>0</v>
      </c>
      <c r="AL333" s="119">
        <f t="shared" si="220"/>
        <v>0</v>
      </c>
      <c r="AM333" s="120">
        <f t="shared" si="223"/>
        <v>0</v>
      </c>
      <c r="AN333" s="120">
        <v>0</v>
      </c>
      <c r="AO333" s="164">
        <f t="shared" si="224"/>
        <v>0</v>
      </c>
      <c r="AP333" s="150">
        <v>0</v>
      </c>
      <c r="AQ333" s="119">
        <f t="shared" si="225"/>
        <v>0</v>
      </c>
      <c r="AR333" s="150">
        <f t="shared" si="221"/>
        <v>0</v>
      </c>
      <c r="AS333" s="165">
        <f t="shared" si="226"/>
        <v>0</v>
      </c>
      <c r="AT333" s="181"/>
      <c r="AU333" s="167">
        <f t="shared" si="227"/>
        <v>0</v>
      </c>
      <c r="AV333" s="121"/>
      <c r="AW333" s="121"/>
      <c r="AX333" s="121"/>
      <c r="AY333" s="121"/>
      <c r="AZ333" s="121"/>
      <c r="BA333" s="121"/>
      <c r="BB333" s="121"/>
      <c r="BC333" s="121"/>
      <c r="BD333" s="121"/>
      <c r="BE333" s="121"/>
      <c r="BF333" s="121"/>
      <c r="BG333" s="121"/>
    </row>
    <row r="334" spans="1:59" ht="15" customHeight="1">
      <c r="A334" s="58" t="s">
        <v>264</v>
      </c>
      <c r="B334" s="59" t="s">
        <v>265</v>
      </c>
      <c r="C334" s="60"/>
      <c r="D334" s="61"/>
      <c r="E334" s="62"/>
      <c r="F334" s="63"/>
      <c r="G334" s="64">
        <f t="shared" si="115"/>
        <v>0</v>
      </c>
      <c r="H334" s="64"/>
      <c r="I334" s="64"/>
      <c r="J334" s="64"/>
      <c r="K334" s="64"/>
      <c r="L334" s="63"/>
      <c r="M334" s="64"/>
      <c r="N334" s="64"/>
      <c r="O334" s="64">
        <f t="shared" si="211"/>
        <v>0</v>
      </c>
      <c r="P334" s="63"/>
      <c r="Q334" s="64">
        <f t="shared" si="212"/>
        <v>0</v>
      </c>
      <c r="R334" s="64"/>
      <c r="S334" s="64"/>
      <c r="T334" s="63"/>
      <c r="U334" s="64"/>
      <c r="V334" s="64"/>
      <c r="W334" s="64"/>
      <c r="X334" s="63"/>
      <c r="Y334" s="64"/>
      <c r="Z334" s="64"/>
      <c r="AA334" s="64"/>
      <c r="AB334" s="63"/>
      <c r="AC334" s="64"/>
      <c r="AD334" s="64"/>
      <c r="AE334" s="64"/>
      <c r="AF334" s="63"/>
      <c r="AG334" s="65"/>
      <c r="AH334" s="31"/>
      <c r="AI334" s="27"/>
      <c r="AJ334" s="28"/>
      <c r="AK334" s="15"/>
      <c r="AL334" s="22"/>
      <c r="AM334" s="4"/>
      <c r="AN334" s="3"/>
      <c r="AO334" s="3"/>
      <c r="AP334" s="17"/>
      <c r="AQ334" s="23"/>
      <c r="AR334" s="17">
        <f t="shared" si="221"/>
        <v>0</v>
      </c>
      <c r="AS334" s="141">
        <f t="shared" si="226"/>
        <v>0</v>
      </c>
      <c r="AT334" s="158"/>
      <c r="AU334" s="146">
        <f t="shared" si="227"/>
        <v>0</v>
      </c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</row>
    <row r="335" spans="1:59" ht="15" customHeight="1">
      <c r="A335" s="50">
        <v>1</v>
      </c>
      <c r="B335" s="24" t="s">
        <v>266</v>
      </c>
      <c r="C335" s="55"/>
      <c r="D335" s="56"/>
      <c r="E335" s="27"/>
      <c r="F335" s="28"/>
      <c r="G335" s="56">
        <f t="shared" si="115"/>
        <v>0</v>
      </c>
      <c r="H335" s="56"/>
      <c r="I335" s="56"/>
      <c r="J335" s="56"/>
      <c r="K335" s="56"/>
      <c r="L335" s="28"/>
      <c r="M335" s="56"/>
      <c r="N335" s="56"/>
      <c r="O335" s="56"/>
      <c r="P335" s="28"/>
      <c r="Q335" s="56">
        <f t="shared" si="212"/>
        <v>0</v>
      </c>
      <c r="R335" s="56"/>
      <c r="S335" s="56"/>
      <c r="T335" s="28"/>
      <c r="U335" s="56"/>
      <c r="V335" s="56"/>
      <c r="W335" s="56"/>
      <c r="X335" s="28"/>
      <c r="Y335" s="56"/>
      <c r="Z335" s="56"/>
      <c r="AA335" s="56"/>
      <c r="AB335" s="28"/>
      <c r="AC335" s="56"/>
      <c r="AD335" s="56"/>
      <c r="AE335" s="56"/>
      <c r="AF335" s="28"/>
      <c r="AG335" s="57"/>
      <c r="AH335" s="31"/>
      <c r="AI335" s="27"/>
      <c r="AJ335" s="28"/>
      <c r="AK335" s="15"/>
      <c r="AL335" s="22"/>
      <c r="AM335" s="4"/>
      <c r="AN335" s="3"/>
      <c r="AO335" s="3"/>
      <c r="AP335" s="17"/>
      <c r="AQ335" s="23"/>
      <c r="AR335" s="17">
        <f t="shared" si="221"/>
        <v>0</v>
      </c>
      <c r="AS335" s="140"/>
      <c r="AT335" s="158"/>
      <c r="AU335" s="146">
        <f t="shared" si="227"/>
        <v>0</v>
      </c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</row>
    <row r="336" spans="1:59" ht="15.75" customHeight="1" thickBot="1">
      <c r="A336" s="90"/>
      <c r="B336" s="91"/>
      <c r="C336" s="92"/>
      <c r="D336" s="93"/>
      <c r="E336" s="94">
        <f>SUM(E7:E335)</f>
        <v>212950200</v>
      </c>
      <c r="F336" s="95"/>
      <c r="G336" s="96">
        <f>SUM(G7:G335)</f>
        <v>26618774.905600004</v>
      </c>
      <c r="H336" s="93"/>
      <c r="I336" s="96">
        <f>SUM(I7:I335)</f>
        <v>26618774.615499999</v>
      </c>
      <c r="J336" s="93"/>
      <c r="K336" s="96">
        <f>SUM(K7:K335)</f>
        <v>26618774.995999999</v>
      </c>
      <c r="L336" s="97"/>
      <c r="M336" s="96">
        <f>SUM(M7:M335)</f>
        <v>23927475.828499999</v>
      </c>
      <c r="N336" s="93"/>
      <c r="O336" s="96">
        <f>SUM(O7:O335)</f>
        <v>26618774.57</v>
      </c>
      <c r="P336" s="97"/>
      <c r="Q336" s="96">
        <f>SUM(Q7:Q335)</f>
        <v>17890323.805</v>
      </c>
      <c r="R336" s="93"/>
      <c r="S336" s="96">
        <f>SUM(S7:S335)</f>
        <v>26618775.484999999</v>
      </c>
      <c r="T336" s="97"/>
      <c r="U336" s="96">
        <f>SUM(U7:U335)</f>
        <v>16013722.375</v>
      </c>
      <c r="V336" s="93"/>
      <c r="W336" s="96">
        <f>SUM(W7:W335)</f>
        <v>26618775.225200001</v>
      </c>
      <c r="X336" s="97"/>
      <c r="Y336" s="96">
        <f>SUM(Y7:Y335)</f>
        <v>4523915.620000001</v>
      </c>
      <c r="Z336" s="93"/>
      <c r="AA336" s="96">
        <f>SUM(AA7:AA335)</f>
        <v>26618774.99605</v>
      </c>
      <c r="AB336" s="97"/>
      <c r="AC336" s="96">
        <f>SUM(AC7:AC335)</f>
        <v>7120000</v>
      </c>
      <c r="AD336" s="93"/>
      <c r="AE336" s="96">
        <f>SUM(AE7:AE335)</f>
        <v>26618775.206250001</v>
      </c>
      <c r="AF336" s="97"/>
      <c r="AG336" s="98">
        <f t="shared" ref="AG336:AI336" si="231">SUM(AG7:AG335)</f>
        <v>985600</v>
      </c>
      <c r="AH336" s="32">
        <f t="shared" si="231"/>
        <v>212950200</v>
      </c>
      <c r="AI336" s="33">
        <f t="shared" si="231"/>
        <v>123698587.14960003</v>
      </c>
      <c r="AJ336" s="34">
        <f>AI336/AH336</f>
        <v>0.58088035207104771</v>
      </c>
      <c r="AK336" s="151">
        <f>AL336/E336</f>
        <v>0.58088035207104749</v>
      </c>
      <c r="AL336" s="33">
        <f>SUM(AL7:AL335)</f>
        <v>123698587.14959998</v>
      </c>
      <c r="AM336" s="4"/>
      <c r="AN336" s="3"/>
      <c r="AO336" s="3"/>
      <c r="AP336" s="151">
        <f>AQ336/E336</f>
        <v>0.50001036114542274</v>
      </c>
      <c r="AQ336" s="33">
        <f>SUM(AQ7:AQ335)</f>
        <v>106477306.40799001</v>
      </c>
      <c r="AR336" s="151">
        <f>AS336/E336</f>
        <v>8.5880948668702814E-2</v>
      </c>
      <c r="AS336" s="142">
        <f>SUM(AS7:AS335)</f>
        <v>18288365.195189998</v>
      </c>
      <c r="AT336" s="159">
        <f>AU336/E336</f>
        <v>6.779965308790506E-2</v>
      </c>
      <c r="AU336" s="145">
        <f>SUM(AU7:AU335)</f>
        <v>14437949.685000001</v>
      </c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</row>
    <row r="337" spans="1:59" ht="15" customHeight="1">
      <c r="A337" s="1"/>
      <c r="B337" s="99"/>
      <c r="C337" s="100"/>
      <c r="D337" s="47"/>
      <c r="E337" s="37"/>
      <c r="F337" s="47"/>
      <c r="G337" s="37"/>
      <c r="H337" s="2"/>
      <c r="I337" s="37"/>
      <c r="J337" s="47"/>
      <c r="K337" s="37"/>
      <c r="L337" s="2"/>
      <c r="M337" s="37"/>
      <c r="N337" s="47"/>
      <c r="O337" s="101"/>
      <c r="P337" s="38"/>
      <c r="Q337" s="101"/>
      <c r="R337" s="38"/>
      <c r="S337" s="37"/>
      <c r="T337" s="38"/>
      <c r="U337" s="101"/>
      <c r="V337" s="47"/>
      <c r="W337" s="101"/>
      <c r="X337" s="38"/>
      <c r="Y337" s="101"/>
      <c r="Z337" s="38"/>
      <c r="AA337" s="101"/>
      <c r="AB337" s="38"/>
      <c r="AC337" s="101"/>
      <c r="AD337" s="47"/>
      <c r="AE337" s="101"/>
      <c r="AF337" s="38"/>
      <c r="AG337" s="101"/>
      <c r="AH337" s="37"/>
      <c r="AI337" s="37"/>
      <c r="AJ337" s="38"/>
      <c r="AK337" s="156"/>
      <c r="AL337" s="4"/>
      <c r="AM337" s="4"/>
      <c r="AN337" s="3"/>
      <c r="AO337" s="3"/>
      <c r="AP337" s="156"/>
      <c r="AQ337" s="5"/>
      <c r="AR337" s="152"/>
      <c r="AS337" s="3"/>
      <c r="AT337" s="157"/>
      <c r="AU337" s="4"/>
      <c r="AV337" s="36"/>
      <c r="AW337" s="3"/>
      <c r="AX337" s="36"/>
      <c r="AY337" s="4"/>
      <c r="AZ337" s="36"/>
      <c r="BA337" s="1"/>
      <c r="BB337" s="1"/>
      <c r="BC337" s="2"/>
      <c r="BD337" s="4"/>
      <c r="BE337" s="3"/>
      <c r="BF337" s="4"/>
      <c r="BG337" s="4"/>
    </row>
    <row r="338" spans="1:59" ht="15" customHeight="1" thickBot="1">
      <c r="A338" s="1"/>
      <c r="B338" s="102"/>
      <c r="C338" s="103"/>
      <c r="D338" s="104"/>
      <c r="E338" s="37"/>
      <c r="F338" s="47"/>
      <c r="G338" s="37"/>
      <c r="H338" s="2"/>
      <c r="I338" s="37"/>
      <c r="J338" s="47"/>
      <c r="K338" s="37"/>
      <c r="L338" s="2"/>
      <c r="M338" s="37"/>
      <c r="N338" s="47"/>
      <c r="O338" s="37"/>
      <c r="P338" s="38"/>
      <c r="Q338" s="37"/>
      <c r="R338" s="38"/>
      <c r="S338" s="37"/>
      <c r="T338" s="38"/>
      <c r="U338" s="37"/>
      <c r="V338" s="47"/>
      <c r="W338" s="37"/>
      <c r="X338" s="38"/>
      <c r="Y338" s="37"/>
      <c r="Z338" s="38"/>
      <c r="AA338" s="37"/>
      <c r="AB338" s="38"/>
      <c r="AC338" s="37"/>
      <c r="AD338" s="47"/>
      <c r="AE338" s="37"/>
      <c r="AF338" s="38"/>
      <c r="AG338" s="37"/>
      <c r="AH338" s="37"/>
      <c r="AI338" s="37"/>
      <c r="AJ338" s="38"/>
      <c r="AK338" s="156"/>
      <c r="AL338" s="35"/>
      <c r="AM338" s="4"/>
      <c r="AN338" s="3"/>
      <c r="AO338" s="3"/>
      <c r="AP338" s="156"/>
      <c r="AQ338" s="146" t="s">
        <v>290</v>
      </c>
      <c r="AR338" s="153">
        <v>0.125</v>
      </c>
      <c r="AS338" s="148">
        <f>AR338*E336</f>
        <v>26618775</v>
      </c>
      <c r="AT338" s="157"/>
      <c r="AU338" s="4"/>
      <c r="AV338" s="5"/>
      <c r="AW338" s="3"/>
      <c r="AX338" s="5"/>
      <c r="AY338" s="4"/>
      <c r="AZ338" s="5"/>
      <c r="BA338" s="1"/>
      <c r="BB338" s="1"/>
      <c r="BC338" s="2"/>
      <c r="BD338" s="4"/>
      <c r="BE338" s="3"/>
      <c r="BF338" s="4"/>
      <c r="BG338" s="4"/>
    </row>
    <row r="339" spans="1:59" ht="15" hidden="1" customHeight="1">
      <c r="A339" s="1"/>
      <c r="B339" s="102" t="s">
        <v>267</v>
      </c>
      <c r="C339" s="103"/>
      <c r="D339" s="105"/>
      <c r="E339" s="37"/>
      <c r="F339" s="47"/>
      <c r="G339" s="47"/>
      <c r="H339" s="2"/>
      <c r="I339" s="47"/>
      <c r="J339" s="47"/>
      <c r="K339" s="47"/>
      <c r="L339" s="2"/>
      <c r="M339" s="47"/>
      <c r="N339" s="47"/>
      <c r="O339" s="47"/>
      <c r="P339" s="38"/>
      <c r="Q339" s="47"/>
      <c r="R339" s="38"/>
      <c r="S339" s="47"/>
      <c r="T339" s="38"/>
      <c r="U339" s="47"/>
      <c r="V339" s="47"/>
      <c r="W339" s="47"/>
      <c r="X339" s="38"/>
      <c r="Y339" s="47"/>
      <c r="Z339" s="38"/>
      <c r="AA339" s="47"/>
      <c r="AB339" s="38"/>
      <c r="AC339" s="47"/>
      <c r="AD339" s="47"/>
      <c r="AE339" s="47"/>
      <c r="AF339" s="38"/>
      <c r="AG339" s="47"/>
      <c r="AH339" s="39"/>
      <c r="AI339" s="40"/>
      <c r="AJ339" s="41"/>
      <c r="AK339" s="156"/>
      <c r="AL339" s="4"/>
      <c r="AM339" s="4"/>
      <c r="AN339" s="3"/>
      <c r="AO339" s="3"/>
      <c r="AP339" s="156"/>
      <c r="AQ339" s="146"/>
      <c r="AR339" s="143"/>
      <c r="AS339" s="144"/>
      <c r="AT339" s="157"/>
      <c r="AU339" s="4"/>
      <c r="AV339" s="3"/>
      <c r="AW339" s="3"/>
      <c r="AX339" s="3"/>
      <c r="AY339" s="4"/>
      <c r="AZ339" s="3"/>
      <c r="BA339" s="1"/>
      <c r="BB339" s="1"/>
      <c r="BC339" s="2"/>
      <c r="BD339" s="4"/>
      <c r="BE339" s="3"/>
      <c r="BF339" s="4"/>
      <c r="BG339" s="4"/>
    </row>
    <row r="340" spans="1:59" ht="15" hidden="1" customHeight="1">
      <c r="A340" s="1"/>
      <c r="B340" s="102" t="s">
        <v>268</v>
      </c>
      <c r="C340" s="103"/>
      <c r="D340" s="105"/>
      <c r="E340" s="37"/>
      <c r="F340" s="47"/>
      <c r="G340" s="47"/>
      <c r="H340" s="2"/>
      <c r="I340" s="47"/>
      <c r="J340" s="47"/>
      <c r="K340" s="47"/>
      <c r="L340" s="2"/>
      <c r="M340" s="47"/>
      <c r="N340" s="47"/>
      <c r="O340" s="47"/>
      <c r="P340" s="38"/>
      <c r="Q340" s="47"/>
      <c r="R340" s="38"/>
      <c r="S340" s="47"/>
      <c r="T340" s="38"/>
      <c r="U340" s="47"/>
      <c r="V340" s="47"/>
      <c r="W340" s="47"/>
      <c r="X340" s="38"/>
      <c r="Y340" s="47"/>
      <c r="Z340" s="38"/>
      <c r="AA340" s="47"/>
      <c r="AB340" s="38"/>
      <c r="AC340" s="47"/>
      <c r="AD340" s="47"/>
      <c r="AE340" s="47"/>
      <c r="AF340" s="38"/>
      <c r="AG340" s="47"/>
      <c r="AH340" s="18"/>
      <c r="AI340" s="20"/>
      <c r="AJ340" s="20"/>
      <c r="AK340" s="156"/>
      <c r="AL340" s="4"/>
      <c r="AM340" s="4"/>
      <c r="AN340" s="3"/>
      <c r="AO340" s="3"/>
      <c r="AP340" s="156"/>
      <c r="AQ340" s="146"/>
      <c r="AR340" s="143"/>
      <c r="AS340" s="144"/>
      <c r="AT340" s="157"/>
      <c r="AU340" s="4"/>
      <c r="AV340" s="3"/>
      <c r="AW340" s="3"/>
      <c r="AX340" s="3"/>
      <c r="AY340" s="4"/>
      <c r="AZ340" s="3"/>
      <c r="BA340" s="42"/>
      <c r="BB340" s="42"/>
      <c r="BC340" s="2"/>
      <c r="BD340" s="4"/>
      <c r="BE340" s="5"/>
      <c r="BF340" s="4"/>
      <c r="BG340" s="4"/>
    </row>
    <row r="341" spans="1:59" ht="15" hidden="1" customHeight="1">
      <c r="A341" s="1"/>
      <c r="B341" s="102" t="s">
        <v>269</v>
      </c>
      <c r="C341" s="103"/>
      <c r="D341" s="105"/>
      <c r="E341" s="37"/>
      <c r="F341" s="47"/>
      <c r="G341" s="47"/>
      <c r="H341" s="2"/>
      <c r="I341" s="47"/>
      <c r="J341" s="47"/>
      <c r="K341" s="47"/>
      <c r="L341" s="2"/>
      <c r="M341" s="47"/>
      <c r="N341" s="47"/>
      <c r="O341" s="47"/>
      <c r="P341" s="38"/>
      <c r="Q341" s="47"/>
      <c r="R341" s="38"/>
      <c r="S341" s="47"/>
      <c r="T341" s="38"/>
      <c r="U341" s="47"/>
      <c r="V341" s="47"/>
      <c r="W341" s="47"/>
      <c r="X341" s="38"/>
      <c r="Y341" s="47"/>
      <c r="Z341" s="38"/>
      <c r="AA341" s="47"/>
      <c r="AB341" s="38"/>
      <c r="AC341" s="47"/>
      <c r="AD341" s="47"/>
      <c r="AE341" s="47"/>
      <c r="AF341" s="38"/>
      <c r="AG341" s="47"/>
      <c r="AH341" s="18"/>
      <c r="AI341" s="20"/>
      <c r="AJ341" s="20"/>
      <c r="AK341" s="156"/>
      <c r="AL341" s="4"/>
      <c r="AM341" s="3"/>
      <c r="AN341" s="3"/>
      <c r="AO341" s="3"/>
      <c r="AP341" s="156"/>
      <c r="AQ341" s="146"/>
      <c r="AR341" s="143"/>
      <c r="AS341" s="144"/>
      <c r="AT341" s="157"/>
      <c r="AU341" s="4"/>
      <c r="AV341" s="3"/>
      <c r="AW341" s="3"/>
      <c r="AX341" s="3"/>
      <c r="AY341" s="4"/>
      <c r="AZ341" s="3"/>
      <c r="BA341" s="42"/>
      <c r="BB341" s="42"/>
      <c r="BC341" s="2"/>
      <c r="BD341" s="4"/>
      <c r="BE341" s="5"/>
      <c r="BF341" s="4"/>
      <c r="BG341" s="4"/>
    </row>
    <row r="342" spans="1:59" ht="15" hidden="1" customHeight="1">
      <c r="A342" s="1"/>
      <c r="B342" s="99"/>
      <c r="C342" s="100"/>
      <c r="D342" s="47"/>
      <c r="E342" s="37"/>
      <c r="F342" s="47"/>
      <c r="G342" s="47"/>
      <c r="H342" s="2"/>
      <c r="I342" s="47"/>
      <c r="J342" s="47"/>
      <c r="K342" s="47"/>
      <c r="L342" s="2"/>
      <c r="M342" s="47"/>
      <c r="N342" s="47"/>
      <c r="O342" s="47"/>
      <c r="P342" s="38"/>
      <c r="Q342" s="47"/>
      <c r="R342" s="38"/>
      <c r="S342" s="47"/>
      <c r="T342" s="38"/>
      <c r="U342" s="47"/>
      <c r="V342" s="47"/>
      <c r="W342" s="47"/>
      <c r="X342" s="38"/>
      <c r="Y342" s="47"/>
      <c r="Z342" s="38"/>
      <c r="AA342" s="47"/>
      <c r="AB342" s="38"/>
      <c r="AC342" s="47"/>
      <c r="AD342" s="47"/>
      <c r="AE342" s="47"/>
      <c r="AF342" s="38"/>
      <c r="AG342" s="47"/>
      <c r="AH342" s="43">
        <f t="shared" ref="AH342:AI342" si="232">SUM(AH7:AH341)</f>
        <v>425900400</v>
      </c>
      <c r="AI342" s="44">
        <f t="shared" si="232"/>
        <v>247397174.29920006</v>
      </c>
      <c r="AJ342" s="20">
        <f>AI342/AH342</f>
        <v>0.58088035207104771</v>
      </c>
      <c r="AK342" s="156"/>
      <c r="AL342" s="4"/>
      <c r="AM342" s="3"/>
      <c r="AN342" s="3"/>
      <c r="AO342" s="3"/>
      <c r="AP342" s="156"/>
      <c r="AQ342" s="146"/>
      <c r="AR342" s="143"/>
      <c r="AS342" s="144"/>
      <c r="AT342" s="157"/>
      <c r="AU342" s="4"/>
      <c r="AV342" s="3"/>
      <c r="AW342" s="3"/>
      <c r="AX342" s="3"/>
      <c r="AY342" s="4"/>
      <c r="AZ342" s="3"/>
      <c r="BA342" s="1"/>
      <c r="BB342" s="1"/>
      <c r="BC342" s="2"/>
      <c r="BD342" s="4"/>
      <c r="BE342" s="3"/>
      <c r="BF342" s="4"/>
      <c r="BG342" s="4"/>
    </row>
    <row r="343" spans="1:59" ht="15" hidden="1" customHeight="1">
      <c r="A343" s="1"/>
      <c r="B343" s="99"/>
      <c r="C343" s="100"/>
      <c r="D343" s="47"/>
      <c r="E343" s="37"/>
      <c r="F343" s="47"/>
      <c r="G343" s="47"/>
      <c r="H343" s="2"/>
      <c r="I343" s="47"/>
      <c r="J343" s="47"/>
      <c r="K343" s="47"/>
      <c r="L343" s="2"/>
      <c r="M343" s="47"/>
      <c r="N343" s="47"/>
      <c r="O343" s="47"/>
      <c r="P343" s="38"/>
      <c r="Q343" s="47"/>
      <c r="R343" s="38"/>
      <c r="S343" s="47"/>
      <c r="T343" s="38"/>
      <c r="U343" s="47"/>
      <c r="V343" s="47"/>
      <c r="W343" s="47"/>
      <c r="X343" s="38"/>
      <c r="Y343" s="47"/>
      <c r="Z343" s="38"/>
      <c r="AA343" s="47"/>
      <c r="AB343" s="38"/>
      <c r="AC343" s="47"/>
      <c r="AD343" s="47"/>
      <c r="AE343" s="47"/>
      <c r="AF343" s="38"/>
      <c r="AG343" s="47"/>
      <c r="AH343" s="1"/>
      <c r="AI343" s="1"/>
      <c r="AJ343" s="2"/>
      <c r="AK343" s="156"/>
      <c r="AL343" s="4"/>
      <c r="AM343" s="3"/>
      <c r="AN343" s="3"/>
      <c r="AO343" s="3"/>
      <c r="AP343" s="156"/>
      <c r="AQ343" s="146"/>
      <c r="AR343" s="143"/>
      <c r="AS343" s="144"/>
      <c r="AT343" s="157"/>
      <c r="AU343" s="4"/>
      <c r="AV343" s="3"/>
      <c r="AW343" s="3"/>
      <c r="AX343" s="3"/>
      <c r="AY343" s="4"/>
      <c r="AZ343" s="3"/>
      <c r="BA343" s="1"/>
      <c r="BB343" s="1"/>
      <c r="BC343" s="2"/>
      <c r="BD343" s="4"/>
      <c r="BE343" s="3"/>
      <c r="BF343" s="4"/>
      <c r="BG343" s="4"/>
    </row>
    <row r="344" spans="1:59" ht="15" hidden="1" customHeight="1">
      <c r="A344" s="1"/>
      <c r="B344" s="102" t="s">
        <v>270</v>
      </c>
      <c r="C344" s="103">
        <f>SUM(C345:C351)</f>
        <v>170806127</v>
      </c>
      <c r="D344" s="106">
        <f>C344/C344</f>
        <v>1</v>
      </c>
      <c r="E344" s="37"/>
      <c r="F344" s="47"/>
      <c r="G344" s="47"/>
      <c r="H344" s="2"/>
      <c r="I344" s="47"/>
      <c r="J344" s="47"/>
      <c r="K344" s="47"/>
      <c r="L344" s="2"/>
      <c r="M344" s="47"/>
      <c r="N344" s="47"/>
      <c r="O344" s="47"/>
      <c r="P344" s="38"/>
      <c r="Q344" s="47"/>
      <c r="R344" s="38"/>
      <c r="S344" s="47"/>
      <c r="T344" s="38"/>
      <c r="U344" s="47"/>
      <c r="V344" s="47"/>
      <c r="W344" s="47"/>
      <c r="X344" s="38"/>
      <c r="Y344" s="47"/>
      <c r="Z344" s="38"/>
      <c r="AA344" s="47"/>
      <c r="AB344" s="38"/>
      <c r="AC344" s="47"/>
      <c r="AD344" s="47"/>
      <c r="AE344" s="47"/>
      <c r="AF344" s="38"/>
      <c r="AG344" s="47"/>
      <c r="AH344" s="1"/>
      <c r="AI344" s="1"/>
      <c r="AJ344" s="2"/>
      <c r="AK344" s="156"/>
      <c r="AL344" s="4"/>
      <c r="AM344" s="3"/>
      <c r="AN344" s="3"/>
      <c r="AO344" s="3"/>
      <c r="AP344" s="156"/>
      <c r="AQ344" s="146"/>
      <c r="AR344" s="143"/>
      <c r="AS344" s="144"/>
      <c r="AT344" s="157"/>
      <c r="AU344" s="4"/>
      <c r="AV344" s="3"/>
      <c r="AW344" s="3"/>
      <c r="AX344" s="3"/>
      <c r="AY344" s="4"/>
      <c r="AZ344" s="3"/>
      <c r="BA344" s="1"/>
      <c r="BB344" s="1"/>
      <c r="BC344" s="2"/>
      <c r="BD344" s="4"/>
      <c r="BE344" s="3"/>
      <c r="BF344" s="4"/>
      <c r="BG344" s="4"/>
    </row>
    <row r="345" spans="1:59" ht="15" hidden="1" customHeight="1">
      <c r="A345" s="1"/>
      <c r="B345" s="102" t="s">
        <v>271</v>
      </c>
      <c r="C345" s="103">
        <f>SUM(E2:E3)</f>
        <v>0</v>
      </c>
      <c r="D345" s="106">
        <f t="shared" ref="D345:D351" si="233">C345/$C$350</f>
        <v>0</v>
      </c>
      <c r="E345" s="37"/>
      <c r="F345" s="47"/>
      <c r="G345" s="47"/>
      <c r="H345" s="2"/>
      <c r="I345" s="47"/>
      <c r="J345" s="47"/>
      <c r="K345" s="47"/>
      <c r="L345" s="2"/>
      <c r="M345" s="47"/>
      <c r="N345" s="47"/>
      <c r="O345" s="47"/>
      <c r="P345" s="38"/>
      <c r="Q345" s="47"/>
      <c r="R345" s="38"/>
      <c r="S345" s="47"/>
      <c r="T345" s="38"/>
      <c r="U345" s="47"/>
      <c r="V345" s="47"/>
      <c r="W345" s="47"/>
      <c r="X345" s="38"/>
      <c r="Y345" s="47"/>
      <c r="Z345" s="38"/>
      <c r="AA345" s="47"/>
      <c r="AB345" s="38"/>
      <c r="AC345" s="47"/>
      <c r="AD345" s="47"/>
      <c r="AE345" s="47"/>
      <c r="AF345" s="38"/>
      <c r="AG345" s="47"/>
      <c r="AH345" s="1"/>
      <c r="AI345" s="1"/>
      <c r="AJ345" s="2"/>
      <c r="AK345" s="156"/>
      <c r="AL345" s="4"/>
      <c r="AM345" s="3"/>
      <c r="AN345" s="3"/>
      <c r="AO345" s="3"/>
      <c r="AP345" s="156"/>
      <c r="AQ345" s="146"/>
      <c r="AR345" s="143"/>
      <c r="AS345" s="144"/>
      <c r="AT345" s="157"/>
      <c r="AU345" s="4"/>
      <c r="AV345" s="3"/>
      <c r="AW345" s="3"/>
      <c r="AX345" s="3"/>
      <c r="AY345" s="4"/>
      <c r="AZ345" s="3"/>
      <c r="BA345" s="1"/>
      <c r="BB345" s="1"/>
      <c r="BC345" s="2"/>
      <c r="BD345" s="4"/>
      <c r="BE345" s="3"/>
      <c r="BF345" s="4"/>
      <c r="BG345" s="4"/>
    </row>
    <row r="346" spans="1:59" ht="15" hidden="1" customHeight="1">
      <c r="A346" s="1"/>
      <c r="B346" s="102" t="s">
        <v>272</v>
      </c>
      <c r="C346" s="103">
        <f>SUM(E8:E254)</f>
        <v>122635006.99999999</v>
      </c>
      <c r="D346" s="106">
        <f t="shared" si="233"/>
        <v>16.034912003138075</v>
      </c>
      <c r="E346" s="37"/>
      <c r="F346" s="47"/>
      <c r="G346" s="47"/>
      <c r="H346" s="2"/>
      <c r="I346" s="47"/>
      <c r="J346" s="47"/>
      <c r="K346" s="47"/>
      <c r="L346" s="2"/>
      <c r="M346" s="47"/>
      <c r="N346" s="47"/>
      <c r="O346" s="47"/>
      <c r="P346" s="38"/>
      <c r="Q346" s="47"/>
      <c r="R346" s="38"/>
      <c r="S346" s="47"/>
      <c r="T346" s="38"/>
      <c r="U346" s="47"/>
      <c r="V346" s="47"/>
      <c r="W346" s="47"/>
      <c r="X346" s="38"/>
      <c r="Y346" s="47"/>
      <c r="Z346" s="38"/>
      <c r="AA346" s="47"/>
      <c r="AB346" s="38"/>
      <c r="AC346" s="47"/>
      <c r="AD346" s="47"/>
      <c r="AE346" s="47"/>
      <c r="AF346" s="38"/>
      <c r="AG346" s="47"/>
      <c r="AH346" s="42"/>
      <c r="AI346" s="42"/>
      <c r="AJ346" s="2"/>
      <c r="AK346" s="156"/>
      <c r="AL346" s="4"/>
      <c r="AM346" s="3"/>
      <c r="AN346" s="3"/>
      <c r="AO346" s="3"/>
      <c r="AP346" s="156"/>
      <c r="AQ346" s="146"/>
      <c r="AR346" s="143"/>
      <c r="AS346" s="144"/>
      <c r="AT346" s="157"/>
      <c r="AU346" s="4"/>
      <c r="AV346" s="3"/>
      <c r="AW346" s="3"/>
      <c r="AX346" s="3"/>
      <c r="AY346" s="4"/>
      <c r="AZ346" s="3"/>
      <c r="BA346" s="1"/>
      <c r="BB346" s="1"/>
      <c r="BC346" s="2"/>
      <c r="BD346" s="4"/>
      <c r="BE346" s="3"/>
      <c r="BF346" s="4"/>
      <c r="BG346" s="4"/>
    </row>
    <row r="347" spans="1:59" ht="15" hidden="1" customHeight="1">
      <c r="A347" s="1"/>
      <c r="B347" s="102" t="s">
        <v>273</v>
      </c>
      <c r="C347" s="103">
        <f>SUM(E257,E260,E271,E269,E273,E275,E276,E282,E283,E287,E290,E293,E296,E299,E302,E304,E307,E309,E312,E316,E317)</f>
        <v>26308120</v>
      </c>
      <c r="D347" s="106">
        <f t="shared" si="233"/>
        <v>3.4398692468619245</v>
      </c>
      <c r="E347" s="37"/>
      <c r="F347" s="47"/>
      <c r="G347" s="47"/>
      <c r="H347" s="2"/>
      <c r="I347" s="47"/>
      <c r="J347" s="47"/>
      <c r="K347" s="47"/>
      <c r="L347" s="2"/>
      <c r="M347" s="47"/>
      <c r="N347" s="47"/>
      <c r="O347" s="47"/>
      <c r="P347" s="38"/>
      <c r="Q347" s="47"/>
      <c r="R347" s="38"/>
      <c r="S347" s="47"/>
      <c r="T347" s="38"/>
      <c r="U347" s="47"/>
      <c r="V347" s="47"/>
      <c r="W347" s="47"/>
      <c r="X347" s="38"/>
      <c r="Y347" s="47"/>
      <c r="Z347" s="38"/>
      <c r="AA347" s="47"/>
      <c r="AB347" s="38"/>
      <c r="AC347" s="47"/>
      <c r="AD347" s="47"/>
      <c r="AE347" s="47"/>
      <c r="AF347" s="38"/>
      <c r="AG347" s="47"/>
      <c r="AH347" s="42"/>
      <c r="AI347" s="42"/>
      <c r="AJ347" s="2"/>
      <c r="AK347" s="156"/>
      <c r="AL347" s="4"/>
      <c r="AM347" s="3"/>
      <c r="AN347" s="3"/>
      <c r="AO347" s="3"/>
      <c r="AP347" s="156"/>
      <c r="AQ347" s="146"/>
      <c r="AR347" s="143"/>
      <c r="AS347" s="144"/>
      <c r="AT347" s="157"/>
      <c r="AU347" s="4"/>
      <c r="AV347" s="3"/>
      <c r="AW347" s="3"/>
      <c r="AX347" s="3"/>
      <c r="AY347" s="4"/>
      <c r="AZ347" s="3"/>
      <c r="BA347" s="1"/>
      <c r="BB347" s="1"/>
      <c r="BC347" s="2"/>
      <c r="BD347" s="4"/>
      <c r="BE347" s="3"/>
      <c r="BF347" s="4"/>
      <c r="BG347" s="4"/>
    </row>
    <row r="348" spans="1:59" ht="15" hidden="1" customHeight="1">
      <c r="A348" s="1"/>
      <c r="B348" s="102" t="s">
        <v>274</v>
      </c>
      <c r="C348" s="103">
        <f>SUM(E263,E266,E321,E323,E327,E330)</f>
        <v>5165000</v>
      </c>
      <c r="D348" s="106">
        <f t="shared" si="233"/>
        <v>0.67533995815899583</v>
      </c>
      <c r="E348" s="37"/>
      <c r="F348" s="47"/>
      <c r="G348" s="47"/>
      <c r="H348" s="2"/>
      <c r="I348" s="47"/>
      <c r="J348" s="47"/>
      <c r="K348" s="47"/>
      <c r="L348" s="2"/>
      <c r="M348" s="47"/>
      <c r="N348" s="47"/>
      <c r="O348" s="47"/>
      <c r="P348" s="38"/>
      <c r="Q348" s="47"/>
      <c r="R348" s="38"/>
      <c r="S348" s="47"/>
      <c r="T348" s="38"/>
      <c r="U348" s="47"/>
      <c r="V348" s="47"/>
      <c r="W348" s="47"/>
      <c r="X348" s="38"/>
      <c r="Y348" s="47"/>
      <c r="Z348" s="38"/>
      <c r="AA348" s="47"/>
      <c r="AB348" s="38"/>
      <c r="AC348" s="47"/>
      <c r="AD348" s="47"/>
      <c r="AE348" s="47"/>
      <c r="AF348" s="38"/>
      <c r="AG348" s="47"/>
      <c r="AH348" s="1"/>
      <c r="AI348" s="1"/>
      <c r="AJ348" s="2"/>
      <c r="AK348" s="156"/>
      <c r="AL348" s="4"/>
      <c r="AM348" s="3"/>
      <c r="AN348" s="3"/>
      <c r="AO348" s="3"/>
      <c r="AP348" s="156"/>
      <c r="AQ348" s="146"/>
      <c r="AR348" s="143"/>
      <c r="AS348" s="144"/>
      <c r="AT348" s="157"/>
      <c r="AU348" s="4"/>
      <c r="AV348" s="3"/>
      <c r="AW348" s="3"/>
      <c r="AX348" s="3"/>
      <c r="AY348" s="4"/>
      <c r="AZ348" s="3"/>
      <c r="BA348" s="1"/>
      <c r="BB348" s="1"/>
      <c r="BC348" s="2"/>
      <c r="BD348" s="4"/>
      <c r="BE348" s="3"/>
      <c r="BF348" s="4"/>
      <c r="BG348" s="4"/>
    </row>
    <row r="349" spans="1:59" ht="15" hidden="1" customHeight="1">
      <c r="A349" s="1"/>
      <c r="B349" s="102" t="s">
        <v>275</v>
      </c>
      <c r="C349" s="103">
        <f>SUM(E279)</f>
        <v>8680000</v>
      </c>
      <c r="D349" s="106">
        <f t="shared" si="233"/>
        <v>1.1349372384937237</v>
      </c>
      <c r="E349" s="37"/>
      <c r="F349" s="47"/>
      <c r="G349" s="47"/>
      <c r="H349" s="2"/>
      <c r="I349" s="47"/>
      <c r="J349" s="47"/>
      <c r="K349" s="47"/>
      <c r="L349" s="2"/>
      <c r="M349" s="47"/>
      <c r="N349" s="47"/>
      <c r="O349" s="47"/>
      <c r="P349" s="38"/>
      <c r="Q349" s="47"/>
      <c r="R349" s="38"/>
      <c r="S349" s="47"/>
      <c r="T349" s="38"/>
      <c r="U349" s="47"/>
      <c r="V349" s="47"/>
      <c r="W349" s="47"/>
      <c r="X349" s="38"/>
      <c r="Y349" s="47"/>
      <c r="Z349" s="38"/>
      <c r="AA349" s="47"/>
      <c r="AB349" s="38"/>
      <c r="AC349" s="47"/>
      <c r="AD349" s="47"/>
      <c r="AE349" s="47"/>
      <c r="AF349" s="38"/>
      <c r="AG349" s="47"/>
      <c r="AH349" s="1"/>
      <c r="AI349" s="1"/>
      <c r="AJ349" s="2"/>
      <c r="AK349" s="156"/>
      <c r="AL349" s="4"/>
      <c r="AM349" s="3"/>
      <c r="AN349" s="3"/>
      <c r="AO349" s="3"/>
      <c r="AP349" s="156"/>
      <c r="AQ349" s="146"/>
      <c r="AR349" s="143"/>
      <c r="AS349" s="144"/>
      <c r="AT349" s="157"/>
      <c r="AU349" s="4"/>
      <c r="AV349" s="3"/>
      <c r="AW349" s="3"/>
      <c r="AX349" s="3"/>
      <c r="AY349" s="4"/>
      <c r="AZ349" s="3"/>
      <c r="BA349" s="1"/>
      <c r="BB349" s="1"/>
      <c r="BC349" s="2"/>
      <c r="BD349" s="4"/>
      <c r="BE349" s="3"/>
      <c r="BF349" s="4"/>
      <c r="BG349" s="4"/>
    </row>
    <row r="350" spans="1:59" ht="15" hidden="1" customHeight="1">
      <c r="A350" s="1"/>
      <c r="B350" s="102" t="s">
        <v>276</v>
      </c>
      <c r="C350" s="103">
        <f t="shared" ref="C350:C351" si="234">E332</f>
        <v>7648000</v>
      </c>
      <c r="D350" s="106">
        <f t="shared" si="233"/>
        <v>1</v>
      </c>
      <c r="E350" s="37"/>
      <c r="F350" s="47"/>
      <c r="G350" s="47"/>
      <c r="H350" s="2"/>
      <c r="I350" s="47"/>
      <c r="J350" s="47"/>
      <c r="K350" s="47"/>
      <c r="L350" s="2"/>
      <c r="M350" s="47"/>
      <c r="N350" s="47"/>
      <c r="O350" s="47"/>
      <c r="P350" s="38"/>
      <c r="Q350" s="47"/>
      <c r="R350" s="38"/>
      <c r="S350" s="47"/>
      <c r="T350" s="38"/>
      <c r="U350" s="47"/>
      <c r="V350" s="47"/>
      <c r="W350" s="47"/>
      <c r="X350" s="38"/>
      <c r="Y350" s="47"/>
      <c r="Z350" s="38"/>
      <c r="AA350" s="47"/>
      <c r="AB350" s="38"/>
      <c r="AC350" s="47"/>
      <c r="AD350" s="47"/>
      <c r="AE350" s="47"/>
      <c r="AF350" s="38"/>
      <c r="AG350" s="47"/>
      <c r="AH350" s="1"/>
      <c r="AI350" s="1"/>
      <c r="AJ350" s="2"/>
      <c r="AK350" s="156"/>
      <c r="AL350" s="4"/>
      <c r="AM350" s="3"/>
      <c r="AN350" s="3"/>
      <c r="AO350" s="3"/>
      <c r="AP350" s="156"/>
      <c r="AQ350" s="146"/>
      <c r="AR350" s="143"/>
      <c r="AS350" s="144"/>
      <c r="AT350" s="157"/>
      <c r="AU350" s="4"/>
      <c r="AV350" s="3"/>
      <c r="AW350" s="3"/>
      <c r="AX350" s="3"/>
      <c r="AY350" s="4"/>
      <c r="AZ350" s="3"/>
      <c r="BA350" s="1"/>
      <c r="BB350" s="1"/>
      <c r="BC350" s="2"/>
      <c r="BD350" s="4"/>
      <c r="BE350" s="3"/>
      <c r="BF350" s="4"/>
      <c r="BG350" s="4"/>
    </row>
    <row r="351" spans="1:59" ht="15" hidden="1" customHeight="1">
      <c r="A351" s="1"/>
      <c r="B351" s="102" t="s">
        <v>277</v>
      </c>
      <c r="C351" s="103">
        <f t="shared" si="234"/>
        <v>370000</v>
      </c>
      <c r="D351" s="106">
        <f t="shared" si="233"/>
        <v>4.8378661087866107E-2</v>
      </c>
      <c r="E351" s="37"/>
      <c r="F351" s="47"/>
      <c r="G351" s="47"/>
      <c r="H351" s="2"/>
      <c r="I351" s="47"/>
      <c r="J351" s="47"/>
      <c r="K351" s="47"/>
      <c r="L351" s="2"/>
      <c r="M351" s="47"/>
      <c r="N351" s="47"/>
      <c r="O351" s="47"/>
      <c r="P351" s="38"/>
      <c r="Q351" s="47"/>
      <c r="R351" s="38"/>
      <c r="S351" s="47"/>
      <c r="T351" s="38"/>
      <c r="U351" s="47"/>
      <c r="V351" s="47"/>
      <c r="W351" s="47"/>
      <c r="X351" s="38"/>
      <c r="Y351" s="47"/>
      <c r="Z351" s="38"/>
      <c r="AA351" s="47"/>
      <c r="AB351" s="38"/>
      <c r="AC351" s="47"/>
      <c r="AD351" s="47"/>
      <c r="AE351" s="47"/>
      <c r="AF351" s="38"/>
      <c r="AG351" s="47"/>
      <c r="AH351" s="1"/>
      <c r="AI351" s="1"/>
      <c r="AJ351" s="2"/>
      <c r="AK351" s="156"/>
      <c r="AL351" s="4"/>
      <c r="AM351" s="3"/>
      <c r="AN351" s="3"/>
      <c r="AO351" s="3"/>
      <c r="AP351" s="156"/>
      <c r="AQ351" s="146"/>
      <c r="AR351" s="143"/>
      <c r="AS351" s="144"/>
      <c r="AT351" s="157"/>
      <c r="AU351" s="4"/>
      <c r="AV351" s="3"/>
      <c r="AW351" s="3"/>
      <c r="AX351" s="3"/>
      <c r="AY351" s="4"/>
      <c r="AZ351" s="3"/>
      <c r="BA351" s="1"/>
      <c r="BB351" s="1"/>
      <c r="BC351" s="2"/>
      <c r="BD351" s="4"/>
      <c r="BE351" s="3"/>
      <c r="BF351" s="4"/>
      <c r="BG351" s="4"/>
    </row>
    <row r="352" spans="1:59" ht="14.25" customHeight="1">
      <c r="A352" s="1"/>
      <c r="B352" s="215" t="s">
        <v>278</v>
      </c>
      <c r="C352" s="206"/>
      <c r="D352" s="206"/>
      <c r="E352" s="207"/>
      <c r="F352" s="107" t="s">
        <v>279</v>
      </c>
      <c r="G352" s="108">
        <f>G336</f>
        <v>26618774.905600004</v>
      </c>
      <c r="H352" s="2"/>
      <c r="I352" s="100"/>
      <c r="J352" s="47"/>
      <c r="K352" s="47"/>
      <c r="L352" s="2"/>
      <c r="M352" s="47"/>
      <c r="N352" s="47"/>
      <c r="O352" s="47"/>
      <c r="P352" s="38"/>
      <c r="Q352" s="47"/>
      <c r="R352" s="38"/>
      <c r="S352" s="47"/>
      <c r="T352" s="38"/>
      <c r="U352" s="47"/>
      <c r="V352" s="47"/>
      <c r="W352" s="47"/>
      <c r="X352" s="38"/>
      <c r="Y352" s="47"/>
      <c r="Z352" s="38"/>
      <c r="AA352" s="47"/>
      <c r="AB352" s="38"/>
      <c r="AC352" s="47"/>
      <c r="AD352" s="47"/>
      <c r="AE352" s="47"/>
      <c r="AF352" s="38"/>
      <c r="AG352" s="47"/>
      <c r="AH352" s="1"/>
      <c r="AI352" s="1"/>
      <c r="AJ352" s="2"/>
      <c r="AK352" s="156"/>
      <c r="AL352" s="4"/>
      <c r="AM352" s="3"/>
      <c r="AN352" s="3"/>
      <c r="AO352" s="3"/>
      <c r="AP352" s="156"/>
      <c r="AQ352" s="146" t="s">
        <v>291</v>
      </c>
      <c r="AR352" s="153">
        <f>AR336</f>
        <v>8.5880948668702814E-2</v>
      </c>
      <c r="AS352" s="148">
        <f>AS336</f>
        <v>18288365.195189998</v>
      </c>
      <c r="AT352" s="157"/>
      <c r="AU352" s="4"/>
      <c r="AV352" s="3"/>
      <c r="AW352" s="3"/>
      <c r="AX352" s="3"/>
      <c r="AY352" s="4"/>
      <c r="AZ352" s="3"/>
      <c r="BA352" s="1"/>
      <c r="BB352" s="1"/>
      <c r="BC352" s="2"/>
      <c r="BD352" s="4"/>
      <c r="BE352" s="3"/>
      <c r="BF352" s="4"/>
      <c r="BG352" s="4"/>
    </row>
    <row r="353" spans="1:59" ht="14.25" customHeight="1">
      <c r="A353" s="1"/>
      <c r="B353" s="199" t="s">
        <v>280</v>
      </c>
      <c r="C353" s="200"/>
      <c r="D353" s="200"/>
      <c r="E353" s="201"/>
      <c r="F353" s="27" t="s">
        <v>279</v>
      </c>
      <c r="G353" s="109">
        <f>I336</f>
        <v>26618774.615499999</v>
      </c>
      <c r="H353" s="2"/>
      <c r="I353" s="47"/>
      <c r="J353" s="47"/>
      <c r="K353" s="47"/>
      <c r="L353" s="2"/>
      <c r="M353" s="47"/>
      <c r="N353" s="47"/>
      <c r="O353" s="47"/>
      <c r="P353" s="38"/>
      <c r="Q353" s="47"/>
      <c r="R353" s="38"/>
      <c r="S353" s="47"/>
      <c r="T353" s="38"/>
      <c r="U353" s="47"/>
      <c r="V353" s="47"/>
      <c r="W353" s="47"/>
      <c r="X353" s="38"/>
      <c r="Y353" s="47"/>
      <c r="Z353" s="38"/>
      <c r="AA353" s="47"/>
      <c r="AB353" s="38"/>
      <c r="AC353" s="47"/>
      <c r="AD353" s="47"/>
      <c r="AE353" s="47"/>
      <c r="AF353" s="38"/>
      <c r="AG353" s="47"/>
      <c r="AH353" s="1"/>
      <c r="AI353" s="1"/>
      <c r="AJ353" s="2"/>
      <c r="AK353" s="156"/>
      <c r="AL353" s="4"/>
      <c r="AM353" s="3"/>
      <c r="AN353" s="3"/>
      <c r="AO353" s="3"/>
      <c r="AP353" s="156"/>
      <c r="AQ353" s="212" t="s">
        <v>294</v>
      </c>
      <c r="AR353" s="143" t="s">
        <v>293</v>
      </c>
      <c r="AS353" s="148">
        <f>SUM(AU8:AU260)</f>
        <v>6632349.6849999996</v>
      </c>
      <c r="AT353" s="160"/>
      <c r="AU353" s="147"/>
      <c r="AV353" s="3"/>
      <c r="AW353" s="3"/>
      <c r="AX353" s="3"/>
      <c r="AY353" s="4"/>
      <c r="AZ353" s="3"/>
      <c r="BA353" s="1"/>
      <c r="BB353" s="1"/>
      <c r="BC353" s="2"/>
      <c r="BD353" s="4"/>
      <c r="BE353" s="3"/>
      <c r="BF353" s="4"/>
      <c r="BG353" s="4"/>
    </row>
    <row r="354" spans="1:59" ht="14.25" customHeight="1">
      <c r="A354" s="1"/>
      <c r="B354" s="199" t="s">
        <v>281</v>
      </c>
      <c r="C354" s="200"/>
      <c r="D354" s="200"/>
      <c r="E354" s="201"/>
      <c r="F354" s="27" t="s">
        <v>279</v>
      </c>
      <c r="G354" s="109">
        <f>M336</f>
        <v>23927475.828499999</v>
      </c>
      <c r="H354" s="2"/>
      <c r="I354" s="110"/>
      <c r="J354" s="47"/>
      <c r="K354" s="47"/>
      <c r="L354" s="2"/>
      <c r="M354" s="47"/>
      <c r="N354" s="47"/>
      <c r="O354" s="47"/>
      <c r="P354" s="38"/>
      <c r="Q354" s="47"/>
      <c r="R354" s="38"/>
      <c r="S354" s="47"/>
      <c r="T354" s="38"/>
      <c r="U354" s="47"/>
      <c r="V354" s="47"/>
      <c r="W354" s="47"/>
      <c r="X354" s="38"/>
      <c r="Y354" s="47"/>
      <c r="Z354" s="38"/>
      <c r="AA354" s="47"/>
      <c r="AB354" s="38"/>
      <c r="AC354" s="47"/>
      <c r="AD354" s="47"/>
      <c r="AE354" s="47"/>
      <c r="AF354" s="38"/>
      <c r="AG354" s="47"/>
      <c r="AH354" s="1"/>
      <c r="AI354" s="1"/>
      <c r="AJ354" s="2"/>
      <c r="AK354" s="156"/>
      <c r="AL354" s="4"/>
      <c r="AM354" s="3"/>
      <c r="AN354" s="3"/>
      <c r="AO354" s="3"/>
      <c r="AP354" s="156"/>
      <c r="AQ354" s="213"/>
      <c r="AR354" s="143" t="s">
        <v>295</v>
      </c>
      <c r="AS354" s="148">
        <f>SUM(AU262:AU335)</f>
        <v>7805600</v>
      </c>
      <c r="AT354" s="160"/>
      <c r="AU354" s="147"/>
      <c r="AV354" s="3"/>
      <c r="AW354" s="3"/>
      <c r="AX354" s="3"/>
      <c r="AY354" s="4"/>
      <c r="AZ354" s="3"/>
      <c r="BA354" s="1"/>
      <c r="BB354" s="1"/>
      <c r="BC354" s="2"/>
      <c r="BD354" s="4"/>
      <c r="BE354" s="3"/>
      <c r="BF354" s="4"/>
      <c r="BG354" s="4"/>
    </row>
    <row r="355" spans="1:59" ht="14.25" customHeight="1">
      <c r="A355" s="1"/>
      <c r="B355" s="199" t="s">
        <v>282</v>
      </c>
      <c r="C355" s="200"/>
      <c r="D355" s="200"/>
      <c r="E355" s="201"/>
      <c r="F355" s="27" t="s">
        <v>279</v>
      </c>
      <c r="G355" s="109">
        <f>Q336</f>
        <v>17890323.805</v>
      </c>
      <c r="H355" s="2"/>
      <c r="I355" s="47"/>
      <c r="J355" s="47"/>
      <c r="K355" s="47"/>
      <c r="L355" s="2"/>
      <c r="M355" s="47"/>
      <c r="N355" s="47"/>
      <c r="O355" s="47"/>
      <c r="P355" s="38"/>
      <c r="Q355" s="47"/>
      <c r="R355" s="38"/>
      <c r="S355" s="47"/>
      <c r="T355" s="38"/>
      <c r="U355" s="47"/>
      <c r="V355" s="47"/>
      <c r="W355" s="47"/>
      <c r="X355" s="38"/>
      <c r="Y355" s="47"/>
      <c r="Z355" s="38"/>
      <c r="AA355" s="47"/>
      <c r="AB355" s="38"/>
      <c r="AC355" s="47"/>
      <c r="AD355" s="47"/>
      <c r="AE355" s="47"/>
      <c r="AF355" s="38"/>
      <c r="AG355" s="47"/>
      <c r="AH355" s="1"/>
      <c r="AI355" s="1"/>
      <c r="AJ355" s="2"/>
      <c r="AK355" s="156"/>
      <c r="AL355" s="4"/>
      <c r="AM355" s="3"/>
      <c r="AN355" s="3"/>
      <c r="AO355" s="3"/>
      <c r="AP355" s="156"/>
      <c r="AQ355" s="214"/>
      <c r="AR355" s="154">
        <f>AS355/E336</f>
        <v>6.779965308790506E-2</v>
      </c>
      <c r="AS355" s="149">
        <f>SUM(AS353:AS354)</f>
        <v>14437949.684999999</v>
      </c>
      <c r="AT355" s="157"/>
      <c r="AU355" s="4"/>
      <c r="AV355" s="3"/>
      <c r="AW355" s="3"/>
      <c r="AX355" s="3"/>
      <c r="AY355" s="4"/>
      <c r="AZ355" s="3"/>
      <c r="BA355" s="1"/>
      <c r="BB355" s="1"/>
      <c r="BC355" s="2"/>
      <c r="BD355" s="4"/>
      <c r="BE355" s="3"/>
      <c r="BF355" s="4"/>
      <c r="BG355" s="4"/>
    </row>
    <row r="356" spans="1:59" ht="14.25" customHeight="1">
      <c r="A356" s="1"/>
      <c r="B356" s="199" t="s">
        <v>283</v>
      </c>
      <c r="C356" s="200"/>
      <c r="D356" s="200"/>
      <c r="E356" s="201"/>
      <c r="F356" s="27" t="s">
        <v>279</v>
      </c>
      <c r="G356" s="109">
        <f>U336</f>
        <v>16013722.375</v>
      </c>
      <c r="H356" s="2"/>
      <c r="I356" s="100"/>
      <c r="J356" s="47"/>
      <c r="K356" s="47"/>
      <c r="L356" s="2"/>
      <c r="M356" s="38"/>
      <c r="N356" s="47"/>
      <c r="O356" s="47"/>
      <c r="P356" s="38"/>
      <c r="Q356" s="47"/>
      <c r="R356" s="38"/>
      <c r="S356" s="47"/>
      <c r="T356" s="38"/>
      <c r="U356" s="47"/>
      <c r="V356" s="47"/>
      <c r="W356" s="47"/>
      <c r="X356" s="38"/>
      <c r="Y356" s="47"/>
      <c r="Z356" s="38"/>
      <c r="AA356" s="47"/>
      <c r="AB356" s="38"/>
      <c r="AC356" s="47"/>
      <c r="AD356" s="47"/>
      <c r="AE356" s="47"/>
      <c r="AF356" s="38"/>
      <c r="AG356" s="47"/>
      <c r="AH356" s="1"/>
      <c r="AI356" s="1"/>
      <c r="AJ356" s="2"/>
      <c r="AK356" s="156"/>
      <c r="AL356" s="4"/>
      <c r="AM356" s="3"/>
      <c r="AN356" s="3"/>
      <c r="AO356" s="3"/>
      <c r="AP356" s="156"/>
      <c r="AQ356" s="5"/>
      <c r="AR356" s="21"/>
      <c r="AS356" s="3"/>
      <c r="AT356" s="157"/>
      <c r="AU356" s="4"/>
      <c r="AV356" s="3"/>
      <c r="AW356" s="3"/>
      <c r="AX356" s="3"/>
      <c r="AY356" s="4"/>
      <c r="AZ356" s="3"/>
      <c r="BA356" s="1"/>
      <c r="BB356" s="1"/>
      <c r="BC356" s="2"/>
      <c r="BD356" s="4"/>
      <c r="BE356" s="3"/>
      <c r="BF356" s="4"/>
      <c r="BG356" s="4"/>
    </row>
    <row r="357" spans="1:59" ht="14.25" customHeight="1">
      <c r="A357" s="1"/>
      <c r="B357" s="199" t="s">
        <v>284</v>
      </c>
      <c r="C357" s="200"/>
      <c r="D357" s="200"/>
      <c r="E357" s="201"/>
      <c r="F357" s="27" t="s">
        <v>279</v>
      </c>
      <c r="G357" s="109">
        <f>Y336</f>
        <v>4523915.620000001</v>
      </c>
      <c r="H357" s="2"/>
      <c r="I357" s="100"/>
      <c r="J357" s="47"/>
      <c r="K357" s="47"/>
      <c r="L357" s="2"/>
      <c r="M357" s="38"/>
      <c r="N357" s="47"/>
      <c r="O357" s="47"/>
      <c r="P357" s="38"/>
      <c r="Q357" s="47"/>
      <c r="R357" s="38"/>
      <c r="S357" s="47"/>
      <c r="T357" s="38"/>
      <c r="U357" s="47"/>
      <c r="V357" s="47"/>
      <c r="W357" s="47"/>
      <c r="X357" s="38"/>
      <c r="Y357" s="47"/>
      <c r="Z357" s="38"/>
      <c r="AA357" s="47"/>
      <c r="AB357" s="38"/>
      <c r="AC357" s="47"/>
      <c r="AD357" s="47"/>
      <c r="AE357" s="47"/>
      <c r="AF357" s="38"/>
      <c r="AG357" s="47"/>
      <c r="AH357" s="1"/>
      <c r="AI357" s="1"/>
      <c r="AJ357" s="2"/>
      <c r="AK357" s="156"/>
      <c r="AL357" s="4"/>
      <c r="AM357" s="3"/>
      <c r="AN357" s="3"/>
      <c r="AO357" s="3"/>
      <c r="AP357" s="156"/>
      <c r="AQ357" s="5"/>
      <c r="AR357" s="21"/>
      <c r="AS357" s="3"/>
      <c r="AT357" s="157"/>
      <c r="AU357" s="4"/>
      <c r="AV357" s="3"/>
      <c r="AW357" s="3"/>
      <c r="AX357" s="3"/>
      <c r="AY357" s="4"/>
      <c r="AZ357" s="3"/>
      <c r="BA357" s="1"/>
      <c r="BB357" s="1"/>
      <c r="BC357" s="2"/>
      <c r="BD357" s="4"/>
      <c r="BE357" s="3"/>
      <c r="BF357" s="4"/>
      <c r="BG357" s="4"/>
    </row>
    <row r="358" spans="1:59" ht="14.25" customHeight="1">
      <c r="A358" s="1"/>
      <c r="B358" s="199" t="s">
        <v>285</v>
      </c>
      <c r="C358" s="200"/>
      <c r="D358" s="200"/>
      <c r="E358" s="201"/>
      <c r="F358" s="27" t="s">
        <v>279</v>
      </c>
      <c r="G358" s="109">
        <f>AC336</f>
        <v>7120000</v>
      </c>
      <c r="H358" s="2"/>
      <c r="I358" s="37"/>
      <c r="J358" s="47"/>
      <c r="K358" s="47"/>
      <c r="L358" s="2"/>
      <c r="M358" s="38"/>
      <c r="N358" s="47"/>
      <c r="O358" s="47"/>
      <c r="P358" s="38"/>
      <c r="Q358" s="47"/>
      <c r="R358" s="38"/>
      <c r="S358" s="47"/>
      <c r="T358" s="38"/>
      <c r="U358" s="47"/>
      <c r="V358" s="47"/>
      <c r="W358" s="47"/>
      <c r="X358" s="38"/>
      <c r="Y358" s="47"/>
      <c r="Z358" s="38"/>
      <c r="AA358" s="47"/>
      <c r="AB358" s="38"/>
      <c r="AC358" s="47"/>
      <c r="AD358" s="47"/>
      <c r="AE358" s="47"/>
      <c r="AF358" s="38"/>
      <c r="AG358" s="47"/>
      <c r="AH358" s="1"/>
      <c r="AI358" s="1"/>
      <c r="AJ358" s="2"/>
      <c r="AK358" s="156"/>
      <c r="AL358" s="4"/>
      <c r="AM358" s="3"/>
      <c r="AN358" s="3"/>
      <c r="AO358" s="3"/>
      <c r="AP358" s="156"/>
      <c r="AQ358" s="5"/>
      <c r="AR358" s="21"/>
      <c r="AS358" s="3"/>
      <c r="AT358" s="157"/>
      <c r="AU358" s="4"/>
      <c r="AV358" s="3"/>
      <c r="AW358" s="3"/>
      <c r="AX358" s="3"/>
      <c r="AY358" s="4"/>
      <c r="AZ358" s="3"/>
      <c r="BA358" s="1"/>
      <c r="BB358" s="1"/>
      <c r="BC358" s="2"/>
      <c r="BD358" s="4"/>
      <c r="BE358" s="3"/>
      <c r="BF358" s="4"/>
      <c r="BG358" s="4"/>
    </row>
    <row r="359" spans="1:59" ht="14.25" customHeight="1" thickBot="1">
      <c r="A359" s="1"/>
      <c r="B359" s="202" t="s">
        <v>286</v>
      </c>
      <c r="C359" s="203"/>
      <c r="D359" s="203"/>
      <c r="E359" s="204"/>
      <c r="F359" s="111" t="s">
        <v>279</v>
      </c>
      <c r="G359" s="112">
        <f>Y349</f>
        <v>0</v>
      </c>
      <c r="H359" s="2"/>
      <c r="I359" s="138"/>
      <c r="J359" s="163"/>
      <c r="K359" s="47"/>
      <c r="L359" s="2"/>
      <c r="M359" s="38"/>
      <c r="N359" s="47"/>
      <c r="O359" s="47"/>
      <c r="P359" s="38"/>
      <c r="Q359" s="47"/>
      <c r="R359" s="38"/>
      <c r="S359" s="47"/>
      <c r="T359" s="38"/>
      <c r="U359" s="47"/>
      <c r="V359" s="47"/>
      <c r="W359" s="47"/>
      <c r="X359" s="38"/>
      <c r="Y359" s="47"/>
      <c r="Z359" s="38"/>
      <c r="AA359" s="47"/>
      <c r="AB359" s="38"/>
      <c r="AC359" s="47"/>
      <c r="AD359" s="47"/>
      <c r="AE359" s="47"/>
      <c r="AF359" s="38"/>
      <c r="AG359" s="47"/>
      <c r="AH359" s="1"/>
      <c r="AI359" s="1"/>
      <c r="AJ359" s="2"/>
      <c r="AK359" s="156"/>
      <c r="AL359" s="4"/>
      <c r="AM359" s="3"/>
      <c r="AN359" s="3"/>
      <c r="AO359" s="3"/>
      <c r="AP359" s="156"/>
      <c r="AQ359" s="5"/>
      <c r="AR359" s="21"/>
      <c r="AS359" s="3"/>
      <c r="AT359" s="157"/>
      <c r="AU359" s="4"/>
      <c r="AV359" s="3"/>
      <c r="AW359" s="3"/>
      <c r="AX359" s="3"/>
      <c r="AY359" s="4"/>
      <c r="AZ359" s="3"/>
      <c r="BA359" s="1"/>
      <c r="BB359" s="1"/>
      <c r="BC359" s="2"/>
      <c r="BD359" s="4"/>
      <c r="BE359" s="3"/>
      <c r="BF359" s="4"/>
      <c r="BG359" s="4"/>
    </row>
    <row r="360" spans="1:59" ht="18" customHeight="1">
      <c r="A360" s="1"/>
      <c r="B360" s="205" t="s">
        <v>287</v>
      </c>
      <c r="C360" s="206"/>
      <c r="D360" s="206"/>
      <c r="E360" s="207"/>
      <c r="F360" s="45" t="s">
        <v>279</v>
      </c>
      <c r="G360" s="46">
        <f>SUM(G352:G359)</f>
        <v>122712987.1496</v>
      </c>
      <c r="H360" s="2"/>
      <c r="I360" s="138"/>
      <c r="J360" s="47"/>
      <c r="K360" s="47"/>
      <c r="L360" s="2"/>
      <c r="M360" s="47"/>
      <c r="N360" s="47"/>
      <c r="O360" s="47"/>
      <c r="P360" s="38"/>
      <c r="Q360" s="47"/>
      <c r="R360" s="38"/>
      <c r="S360" s="47"/>
      <c r="T360" s="38"/>
      <c r="U360" s="47"/>
      <c r="V360" s="47"/>
      <c r="W360" s="47"/>
      <c r="X360" s="38"/>
      <c r="Y360" s="47"/>
      <c r="Z360" s="38"/>
      <c r="AA360" s="47"/>
      <c r="AB360" s="38"/>
      <c r="AC360" s="47"/>
      <c r="AD360" s="47"/>
      <c r="AE360" s="47"/>
      <c r="AF360" s="38"/>
      <c r="AG360" s="47"/>
      <c r="AH360" s="1"/>
      <c r="AI360" s="1"/>
      <c r="AJ360" s="2"/>
      <c r="AK360" s="2"/>
      <c r="AL360" s="38"/>
      <c r="AM360" s="47"/>
      <c r="AN360" s="47"/>
      <c r="AO360" s="47"/>
      <c r="AP360" s="2"/>
      <c r="AQ360" s="37"/>
      <c r="AR360" s="1"/>
      <c r="AS360" s="47"/>
      <c r="AT360" s="161"/>
      <c r="AU360" s="38"/>
      <c r="AV360" s="47"/>
      <c r="AW360" s="47"/>
      <c r="AX360" s="47"/>
      <c r="AY360" s="38"/>
      <c r="AZ360" s="47"/>
      <c r="BA360" s="1"/>
      <c r="BB360" s="1"/>
      <c r="BC360" s="2"/>
      <c r="BD360" s="38"/>
      <c r="BE360" s="47"/>
      <c r="BF360" s="38"/>
      <c r="BG360" s="38"/>
    </row>
    <row r="361" spans="1:59" ht="18" customHeight="1" thickBot="1">
      <c r="A361" s="1"/>
      <c r="B361" s="208" t="s">
        <v>299</v>
      </c>
      <c r="C361" s="209"/>
      <c r="D361" s="209"/>
      <c r="E361" s="210"/>
      <c r="F361" s="48" t="s">
        <v>279</v>
      </c>
      <c r="G361" s="49">
        <f>G360/E336</f>
        <v>0.57625203991167884</v>
      </c>
      <c r="H361" s="2"/>
      <c r="I361" s="135"/>
      <c r="J361" s="47"/>
      <c r="K361" s="47"/>
      <c r="L361" s="2"/>
      <c r="M361" s="47"/>
      <c r="N361" s="47"/>
      <c r="O361" s="47"/>
      <c r="P361" s="38"/>
      <c r="Q361" s="47"/>
      <c r="R361" s="38"/>
      <c r="S361" s="47"/>
      <c r="T361" s="38"/>
      <c r="U361" s="47"/>
      <c r="V361" s="47"/>
      <c r="W361" s="47"/>
      <c r="X361" s="38"/>
      <c r="Y361" s="47"/>
      <c r="Z361" s="38"/>
      <c r="AA361" s="47"/>
      <c r="AB361" s="38"/>
      <c r="AC361" s="47"/>
      <c r="AD361" s="47"/>
      <c r="AE361" s="47"/>
      <c r="AF361" s="38"/>
      <c r="AG361" s="47"/>
      <c r="AH361" s="1"/>
      <c r="AI361" s="1"/>
      <c r="AJ361" s="2"/>
      <c r="AK361" s="2"/>
      <c r="AL361" s="38"/>
      <c r="AM361" s="47"/>
      <c r="AN361" s="47"/>
      <c r="AO361" s="47"/>
      <c r="AP361" s="2"/>
      <c r="AQ361" s="37"/>
      <c r="AR361" s="1"/>
      <c r="AS361" s="47"/>
      <c r="AT361" s="161"/>
      <c r="AU361" s="38"/>
      <c r="AV361" s="47"/>
      <c r="AW361" s="47"/>
      <c r="AX361" s="47"/>
      <c r="AY361" s="38"/>
      <c r="AZ361" s="47"/>
      <c r="BA361" s="1"/>
      <c r="BB361" s="1"/>
      <c r="BC361" s="2"/>
      <c r="BD361" s="38"/>
      <c r="BE361" s="47"/>
      <c r="BF361" s="38"/>
      <c r="BG361" s="38"/>
    </row>
  </sheetData>
  <mergeCells count="108">
    <mergeCell ref="A1:AG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AP2:AQ2"/>
    <mergeCell ref="AR2:AS2"/>
    <mergeCell ref="AH7:AH10"/>
    <mergeCell ref="AI7:AI10"/>
    <mergeCell ref="AJ7:AJ10"/>
    <mergeCell ref="AH13:AH24"/>
    <mergeCell ref="AI13:AI24"/>
    <mergeCell ref="AJ13:AJ24"/>
    <mergeCell ref="X2:Y2"/>
    <mergeCell ref="Z2:AA2"/>
    <mergeCell ref="AB2:AC2"/>
    <mergeCell ref="AD2:AE2"/>
    <mergeCell ref="AF2:AG2"/>
    <mergeCell ref="AK2:AL2"/>
    <mergeCell ref="AH45:AH58"/>
    <mergeCell ref="AI45:AI58"/>
    <mergeCell ref="AJ45:AJ58"/>
    <mergeCell ref="AH59:AH71"/>
    <mergeCell ref="AI59:AI71"/>
    <mergeCell ref="AJ59:AJ71"/>
    <mergeCell ref="AH25:AH33"/>
    <mergeCell ref="AI25:AI33"/>
    <mergeCell ref="AJ25:AJ33"/>
    <mergeCell ref="AH34:AH44"/>
    <mergeCell ref="AI34:AI44"/>
    <mergeCell ref="AJ34:AJ44"/>
    <mergeCell ref="AH96:AH103"/>
    <mergeCell ref="AI96:AI103"/>
    <mergeCell ref="AJ96:AJ103"/>
    <mergeCell ref="AH104:AH113"/>
    <mergeCell ref="AI104:AI113"/>
    <mergeCell ref="AJ104:AJ113"/>
    <mergeCell ref="AH72:AH82"/>
    <mergeCell ref="AI72:AI82"/>
    <mergeCell ref="AJ72:AJ82"/>
    <mergeCell ref="AH83:AH95"/>
    <mergeCell ref="AI83:AI95"/>
    <mergeCell ref="AJ83:AJ95"/>
    <mergeCell ref="AH135:AH147"/>
    <mergeCell ref="AI135:AI147"/>
    <mergeCell ref="AJ135:AJ147"/>
    <mergeCell ref="AH148:AH155"/>
    <mergeCell ref="AI148:AI155"/>
    <mergeCell ref="AJ148:AJ155"/>
    <mergeCell ref="AH114:AH123"/>
    <mergeCell ref="AI114:AI123"/>
    <mergeCell ref="AJ114:AJ123"/>
    <mergeCell ref="AH124:AH134"/>
    <mergeCell ref="AI124:AI134"/>
    <mergeCell ref="AJ124:AJ134"/>
    <mergeCell ref="AH170:AH174"/>
    <mergeCell ref="AI170:AI174"/>
    <mergeCell ref="AJ170:AJ174"/>
    <mergeCell ref="AH175:AH179"/>
    <mergeCell ref="AI175:AI179"/>
    <mergeCell ref="AJ175:AJ179"/>
    <mergeCell ref="AH156:AH163"/>
    <mergeCell ref="AI156:AI163"/>
    <mergeCell ref="AJ156:AJ163"/>
    <mergeCell ref="AH164:AH169"/>
    <mergeCell ref="AI164:AI169"/>
    <mergeCell ref="AJ164:AJ169"/>
    <mergeCell ref="AH204:AH208"/>
    <mergeCell ref="AI204:AI208"/>
    <mergeCell ref="AJ204:AJ208"/>
    <mergeCell ref="AH209:AH219"/>
    <mergeCell ref="AI209:AI219"/>
    <mergeCell ref="AJ209:AJ219"/>
    <mergeCell ref="AH180:AH191"/>
    <mergeCell ref="AI180:AI191"/>
    <mergeCell ref="AJ180:AJ191"/>
    <mergeCell ref="AH194:AH203"/>
    <mergeCell ref="AI194:AI203"/>
    <mergeCell ref="AJ194:AJ203"/>
    <mergeCell ref="B358:E358"/>
    <mergeCell ref="B359:E359"/>
    <mergeCell ref="B360:E360"/>
    <mergeCell ref="B361:E361"/>
    <mergeCell ref="AT2:AU2"/>
    <mergeCell ref="AQ353:AQ355"/>
    <mergeCell ref="B352:E352"/>
    <mergeCell ref="B353:E353"/>
    <mergeCell ref="B354:E354"/>
    <mergeCell ref="B355:E355"/>
    <mergeCell ref="B356:E356"/>
    <mergeCell ref="B357:E357"/>
    <mergeCell ref="AH257:AH260"/>
    <mergeCell ref="AI257:AI260"/>
    <mergeCell ref="AJ257:AJ260"/>
    <mergeCell ref="AH261:AH333"/>
    <mergeCell ref="AI261:AI333"/>
    <mergeCell ref="AJ261:AJ333"/>
    <mergeCell ref="AH220:AH225"/>
    <mergeCell ref="AI220:AI225"/>
    <mergeCell ref="AJ220:AJ225"/>
    <mergeCell ref="AH226:AH256"/>
    <mergeCell ref="AI226:AI256"/>
    <mergeCell ref="AJ226:AJ256"/>
  </mergeCells>
  <conditionalFormatting sqref="BE337:BF361">
    <cfRule type="cellIs" dxfId="0" priority="1" operator="greaterThan">
      <formula>1</formula>
    </cfRule>
  </conditionalFormatting>
  <printOptions horizontalCentered="1"/>
  <pageMargins left="0.11811023622047245" right="0.11811023622047245" top="0.23622047244094491" bottom="0.11811023622047245" header="0" footer="0"/>
  <pageSetup paperSize="9" scale="37" fitToWidth="0" fitToHeight="0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(2)</vt:lpstr>
      <vt:lpstr>'Shuklaganj (2)'!Print_Area</vt:lpstr>
      <vt:lpstr>'Shuklaganj (2)'!Print_Titles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Priyesh Shukla</cp:lastModifiedBy>
  <cp:lastPrinted>2022-11-16T04:24:57Z</cp:lastPrinted>
  <dcterms:created xsi:type="dcterms:W3CDTF">2021-05-21T11:30:43Z</dcterms:created>
  <dcterms:modified xsi:type="dcterms:W3CDTF">2023-01-16T07:03:02Z</dcterms:modified>
</cp:coreProperties>
</file>